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https://d.docs.live.net/4fbf5a871eb7e134/Documentos/INFORMACIÓN PUBLICA - 16-04-2020/2024 Informacion www asotacgua.com/12 DICIEMBRE/Numeral 08/"/>
    </mc:Choice>
  </mc:AlternateContent>
  <xr:revisionPtr revIDLastSave="0" documentId="8_{212572FF-D470-41CD-BB19-E40D8B84A7D1}" xr6:coauthVersionLast="47" xr6:coauthVersionMax="47" xr10:uidLastSave="{00000000-0000-0000-0000-000000000000}"/>
  <bookViews>
    <workbookView xWindow="-120" yWindow="-120" windowWidth="29040" windowHeight="15720" tabRatio="810" firstSheet="2" activeTab="11" xr2:uid="{00000000-000D-0000-FFFF-FFFF00000000}"/>
  </bookViews>
  <sheets>
    <sheet name="ENERO 2023" sheetId="61" r:id="rId1"/>
    <sheet name="FEBRERO 2023" sheetId="62" r:id="rId2"/>
    <sheet name="MARZO 2023" sheetId="63" r:id="rId3"/>
    <sheet name="ABRIL 2023 " sheetId="64" r:id="rId4"/>
    <sheet name="MAYO 2023" sheetId="65" r:id="rId5"/>
    <sheet name="JUNIO 2023 " sheetId="66" r:id="rId6"/>
    <sheet name="JULIO 2023" sheetId="67" r:id="rId7"/>
    <sheet name="AGOSTO 2023" sheetId="68" r:id="rId8"/>
    <sheet name="SEPTIEMBRE 2023 " sheetId="69" r:id="rId9"/>
    <sheet name="OCTUBRE 2023" sheetId="71" r:id="rId10"/>
    <sheet name="NOVIEMBRE 2023" sheetId="72" r:id="rId11"/>
    <sheet name="DICIEMBRE 2023" sheetId="7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73" l="1"/>
  <c r="C164" i="73" l="1"/>
  <c r="C167" i="73"/>
  <c r="M112" i="73"/>
  <c r="M41" i="73"/>
  <c r="C160" i="73"/>
  <c r="C162" i="73"/>
  <c r="M136" i="73" l="1"/>
  <c r="M135" i="73"/>
  <c r="M120" i="73"/>
  <c r="M102" i="73"/>
  <c r="M80" i="73"/>
  <c r="M76" i="73"/>
  <c r="M69" i="73"/>
  <c r="M68" i="73"/>
  <c r="M56" i="73"/>
  <c r="N56" i="73" s="1"/>
  <c r="M53" i="73"/>
  <c r="M52" i="73"/>
  <c r="M51" i="73"/>
  <c r="M50" i="73"/>
  <c r="M47" i="73"/>
  <c r="M46" i="73"/>
  <c r="M42" i="73"/>
  <c r="M40" i="73"/>
  <c r="M39" i="73"/>
  <c r="M38" i="73"/>
  <c r="M36" i="73"/>
  <c r="M33" i="73"/>
  <c r="M32" i="73"/>
  <c r="M31" i="73"/>
  <c r="M20" i="73"/>
  <c r="M18" i="73"/>
  <c r="M15" i="73"/>
  <c r="K139" i="73"/>
  <c r="J139" i="73"/>
  <c r="I139" i="73"/>
  <c r="H139" i="73"/>
  <c r="G139" i="73"/>
  <c r="F139" i="73"/>
  <c r="E139" i="73"/>
  <c r="D139" i="73"/>
  <c r="C139" i="73"/>
  <c r="M138" i="73"/>
  <c r="L138" i="73"/>
  <c r="N138" i="73" s="1"/>
  <c r="M137" i="73"/>
  <c r="L137" i="73"/>
  <c r="N137" i="73" s="1"/>
  <c r="L136" i="73"/>
  <c r="N136" i="73" s="1"/>
  <c r="N135" i="73"/>
  <c r="L135" i="73"/>
  <c r="L131" i="73"/>
  <c r="N131" i="73" s="1"/>
  <c r="L130" i="73"/>
  <c r="N130" i="73" s="1"/>
  <c r="M129" i="73"/>
  <c r="L129" i="73"/>
  <c r="N129" i="73" s="1"/>
  <c r="L128" i="73"/>
  <c r="N128" i="73" s="1"/>
  <c r="L127" i="73"/>
  <c r="N127" i="73" s="1"/>
  <c r="L126" i="73"/>
  <c r="N126" i="73" s="1"/>
  <c r="L125" i="73"/>
  <c r="N125" i="73" s="1"/>
  <c r="L120" i="73"/>
  <c r="M119" i="73"/>
  <c r="L119" i="73"/>
  <c r="N119" i="73" s="1"/>
  <c r="M118" i="73"/>
  <c r="L118" i="73"/>
  <c r="N118" i="73" s="1"/>
  <c r="M117" i="73"/>
  <c r="L117" i="73"/>
  <c r="N117" i="73" s="1"/>
  <c r="M116" i="73"/>
  <c r="L116" i="73"/>
  <c r="N116" i="73" s="1"/>
  <c r="M115" i="73"/>
  <c r="N115" i="73" s="1"/>
  <c r="L115" i="73"/>
  <c r="M114" i="73"/>
  <c r="L114" i="73"/>
  <c r="N114" i="73" s="1"/>
  <c r="L113" i="73"/>
  <c r="N113" i="73" s="1"/>
  <c r="L112" i="73"/>
  <c r="N112" i="73" s="1"/>
  <c r="M111" i="73"/>
  <c r="L111" i="73"/>
  <c r="N111" i="73" s="1"/>
  <c r="L110" i="73"/>
  <c r="N110" i="73" s="1"/>
  <c r="M109" i="73"/>
  <c r="L109" i="73"/>
  <c r="N109" i="73" s="1"/>
  <c r="L108" i="73"/>
  <c r="N108" i="73" s="1"/>
  <c r="L107" i="73"/>
  <c r="N107" i="73" s="1"/>
  <c r="L106" i="73"/>
  <c r="N106" i="73" s="1"/>
  <c r="N105" i="73"/>
  <c r="L105" i="73"/>
  <c r="L104" i="73"/>
  <c r="N104" i="73" s="1"/>
  <c r="L103" i="73"/>
  <c r="N103" i="73" s="1"/>
  <c r="L102" i="73"/>
  <c r="N102" i="73" s="1"/>
  <c r="N101" i="73"/>
  <c r="M101" i="73"/>
  <c r="L101" i="73"/>
  <c r="M100" i="73"/>
  <c r="L100" i="73"/>
  <c r="N100" i="73" s="1"/>
  <c r="M99" i="73"/>
  <c r="L99" i="73"/>
  <c r="N99" i="73" s="1"/>
  <c r="L98" i="73"/>
  <c r="N98" i="73" s="1"/>
  <c r="N97" i="73"/>
  <c r="M97" i="73"/>
  <c r="L97" i="73"/>
  <c r="M96" i="73"/>
  <c r="L96" i="73"/>
  <c r="N96" i="73" s="1"/>
  <c r="L95" i="73"/>
  <c r="N95" i="73" s="1"/>
  <c r="L94" i="73"/>
  <c r="N94" i="73" s="1"/>
  <c r="L93" i="73"/>
  <c r="N93" i="73" s="1"/>
  <c r="M92" i="73"/>
  <c r="L92" i="73"/>
  <c r="M91" i="73"/>
  <c r="L91" i="73"/>
  <c r="N91" i="73" s="1"/>
  <c r="M90" i="73"/>
  <c r="L90" i="73"/>
  <c r="N90" i="73" s="1"/>
  <c r="M89" i="73"/>
  <c r="L89" i="73"/>
  <c r="N89" i="73" s="1"/>
  <c r="N88" i="73"/>
  <c r="L88" i="73"/>
  <c r="N87" i="73"/>
  <c r="L87" i="73"/>
  <c r="L86" i="73"/>
  <c r="N86" i="73" s="1"/>
  <c r="L85" i="73"/>
  <c r="N85" i="73" s="1"/>
  <c r="M84" i="73"/>
  <c r="L84" i="73"/>
  <c r="N84" i="73" s="1"/>
  <c r="L80" i="73"/>
  <c r="N80" i="73" s="1"/>
  <c r="L79" i="73"/>
  <c r="N79" i="73" s="1"/>
  <c r="M78" i="73"/>
  <c r="L78" i="73"/>
  <c r="N78" i="73" s="1"/>
  <c r="N77" i="73"/>
  <c r="M77" i="73"/>
  <c r="L77" i="73"/>
  <c r="L76" i="73"/>
  <c r="N75" i="73"/>
  <c r="L75" i="73"/>
  <c r="L74" i="73"/>
  <c r="N74" i="73" s="1"/>
  <c r="L73" i="73"/>
  <c r="N73" i="73" s="1"/>
  <c r="M72" i="73"/>
  <c r="L72" i="73"/>
  <c r="N72" i="73" s="1"/>
  <c r="N71" i="73"/>
  <c r="M71" i="73"/>
  <c r="L71" i="73"/>
  <c r="M70" i="73"/>
  <c r="L70" i="73"/>
  <c r="N70" i="73" s="1"/>
  <c r="L69" i="73"/>
  <c r="N69" i="73" s="1"/>
  <c r="L68" i="73"/>
  <c r="N68" i="73" s="1"/>
  <c r="L67" i="73"/>
  <c r="N67" i="73" s="1"/>
  <c r="L66" i="73"/>
  <c r="N66" i="73" s="1"/>
  <c r="L65" i="73"/>
  <c r="N65" i="73" s="1"/>
  <c r="L64" i="73"/>
  <c r="N64" i="73" s="1"/>
  <c r="L63" i="73"/>
  <c r="N63" i="73" s="1"/>
  <c r="L62" i="73"/>
  <c r="N62" i="73" s="1"/>
  <c r="M61" i="73"/>
  <c r="L61" i="73"/>
  <c r="M60" i="73"/>
  <c r="L60" i="73"/>
  <c r="N60" i="73" s="1"/>
  <c r="M59" i="73"/>
  <c r="L59" i="73"/>
  <c r="N59" i="73" s="1"/>
  <c r="L58" i="73"/>
  <c r="N58" i="73" s="1"/>
  <c r="N57" i="73"/>
  <c r="L57" i="73"/>
  <c r="L56" i="73"/>
  <c r="M55" i="73"/>
  <c r="L55" i="73"/>
  <c r="N55" i="73" s="1"/>
  <c r="M54" i="73"/>
  <c r="L54" i="73"/>
  <c r="N54" i="73" s="1"/>
  <c r="L53" i="73"/>
  <c r="N53" i="73" s="1"/>
  <c r="L52" i="73"/>
  <c r="L51" i="73"/>
  <c r="N51" i="73" s="1"/>
  <c r="L50" i="73"/>
  <c r="N50" i="73" s="1"/>
  <c r="M49" i="73"/>
  <c r="L49" i="73"/>
  <c r="N49" i="73" s="1"/>
  <c r="L48" i="73"/>
  <c r="N48" i="73" s="1"/>
  <c r="L47" i="73"/>
  <c r="N47" i="73" s="1"/>
  <c r="L46" i="73"/>
  <c r="N46" i="73" s="1"/>
  <c r="L42" i="73"/>
  <c r="L41" i="73"/>
  <c r="N41" i="73" s="1"/>
  <c r="L40" i="73"/>
  <c r="N40" i="73" s="1"/>
  <c r="L39" i="73"/>
  <c r="N39" i="73" s="1"/>
  <c r="L38" i="73"/>
  <c r="N38" i="73" s="1"/>
  <c r="M37" i="73"/>
  <c r="L37" i="73"/>
  <c r="N37" i="73" s="1"/>
  <c r="L36" i="73"/>
  <c r="N36" i="73" s="1"/>
  <c r="L35" i="73"/>
  <c r="N35" i="73" s="1"/>
  <c r="M34" i="73"/>
  <c r="L34" i="73"/>
  <c r="N34" i="73" s="1"/>
  <c r="N33" i="73"/>
  <c r="L33" i="73"/>
  <c r="L32" i="73"/>
  <c r="N32" i="73" s="1"/>
  <c r="L31" i="73"/>
  <c r="K26" i="73"/>
  <c r="J26" i="73"/>
  <c r="I26" i="73"/>
  <c r="H26" i="73"/>
  <c r="G26" i="73"/>
  <c r="F26" i="73"/>
  <c r="E26" i="73"/>
  <c r="D26" i="73"/>
  <c r="C26" i="73"/>
  <c r="L25" i="73"/>
  <c r="N25" i="73" s="1"/>
  <c r="L24" i="73"/>
  <c r="N24" i="73" s="1"/>
  <c r="N22" i="73"/>
  <c r="L22" i="73"/>
  <c r="L21" i="73"/>
  <c r="N21" i="73" s="1"/>
  <c r="N20" i="73"/>
  <c r="L20" i="73"/>
  <c r="L19" i="73"/>
  <c r="N19" i="73" s="1"/>
  <c r="L18" i="73"/>
  <c r="N18" i="73" s="1"/>
  <c r="L15" i="73"/>
  <c r="L13" i="73"/>
  <c r="N13" i="73" s="1"/>
  <c r="M12" i="73"/>
  <c r="M26" i="73" s="1"/>
  <c r="L12" i="73"/>
  <c r="L11" i="73"/>
  <c r="M10" i="73"/>
  <c r="L10" i="73"/>
  <c r="C160" i="72"/>
  <c r="C164" i="72"/>
  <c r="C162" i="72"/>
  <c r="N120" i="73" l="1"/>
  <c r="N52" i="73"/>
  <c r="N42" i="73"/>
  <c r="O10" i="73"/>
  <c r="O18" i="73"/>
  <c r="O24" i="73"/>
  <c r="O13" i="73"/>
  <c r="O19" i="73"/>
  <c r="C152" i="73"/>
  <c r="O25" i="73"/>
  <c r="O22" i="73"/>
  <c r="O20" i="73"/>
  <c r="O21" i="73"/>
  <c r="O15" i="73"/>
  <c r="N12" i="73"/>
  <c r="N76" i="73"/>
  <c r="N92" i="73"/>
  <c r="M139" i="73"/>
  <c r="O47" i="73" s="1"/>
  <c r="O12" i="73"/>
  <c r="L139" i="73"/>
  <c r="L26" i="73"/>
  <c r="N31" i="73"/>
  <c r="N10" i="73"/>
  <c r="N61" i="73"/>
  <c r="N15" i="73"/>
  <c r="M138" i="72"/>
  <c r="M137" i="72"/>
  <c r="M120" i="72"/>
  <c r="M119" i="72"/>
  <c r="M118" i="72"/>
  <c r="M117" i="72"/>
  <c r="M116" i="72"/>
  <c r="M115" i="72"/>
  <c r="M114" i="72"/>
  <c r="M112" i="72"/>
  <c r="M100" i="72"/>
  <c r="M99" i="72"/>
  <c r="M97" i="72"/>
  <c r="M91" i="72"/>
  <c r="M90" i="72"/>
  <c r="M84" i="72"/>
  <c r="M80" i="72"/>
  <c r="M78" i="72"/>
  <c r="M77" i="72"/>
  <c r="M76" i="72"/>
  <c r="M72" i="72"/>
  <c r="M71" i="72"/>
  <c r="M69" i="72"/>
  <c r="M68" i="72"/>
  <c r="M61" i="72"/>
  <c r="M60" i="72"/>
  <c r="M59" i="72"/>
  <c r="M56" i="72"/>
  <c r="M55" i="72"/>
  <c r="M54" i="72"/>
  <c r="M52" i="72"/>
  <c r="M51" i="72"/>
  <c r="M50" i="72"/>
  <c r="M47" i="72"/>
  <c r="M46" i="72"/>
  <c r="M39" i="72"/>
  <c r="M38" i="72"/>
  <c r="M37" i="72"/>
  <c r="M36" i="72"/>
  <c r="M33" i="72"/>
  <c r="M32" i="72"/>
  <c r="M31" i="72"/>
  <c r="M20" i="72"/>
  <c r="M18" i="72"/>
  <c r="M15" i="72"/>
  <c r="M10" i="72"/>
  <c r="O69" i="73" l="1"/>
  <c r="O109" i="73"/>
  <c r="O76" i="73"/>
  <c r="O39" i="73"/>
  <c r="O116" i="73"/>
  <c r="O49" i="73"/>
  <c r="O89" i="73"/>
  <c r="O37" i="73"/>
  <c r="O55" i="73"/>
  <c r="O112" i="73"/>
  <c r="O84" i="73"/>
  <c r="O32" i="73"/>
  <c r="O137" i="73"/>
  <c r="O96" i="73"/>
  <c r="O31" i="73"/>
  <c r="O61" i="73"/>
  <c r="O54" i="73"/>
  <c r="O102" i="73"/>
  <c r="O72" i="73"/>
  <c r="N26" i="73"/>
  <c r="N139" i="73"/>
  <c r="O107" i="73"/>
  <c r="O103" i="73"/>
  <c r="O93" i="73"/>
  <c r="O73" i="73"/>
  <c r="O62" i="73"/>
  <c r="O131" i="73"/>
  <c r="O86" i="73"/>
  <c r="O127" i="73"/>
  <c r="O110" i="73"/>
  <c r="O66" i="73"/>
  <c r="O113" i="73"/>
  <c r="O106" i="73"/>
  <c r="O79" i="73"/>
  <c r="O58" i="73"/>
  <c r="O42" i="73"/>
  <c r="O130" i="73"/>
  <c r="O85" i="73"/>
  <c r="O135" i="73"/>
  <c r="O100" i="73"/>
  <c r="O70" i="73"/>
  <c r="O65" i="73"/>
  <c r="O48" i="73"/>
  <c r="O41" i="73"/>
  <c r="O33" i="73"/>
  <c r="O98" i="73"/>
  <c r="O120" i="73"/>
  <c r="O97" i="73"/>
  <c r="O57" i="73"/>
  <c r="O126" i="73"/>
  <c r="O114" i="73"/>
  <c r="C153" i="73"/>
  <c r="C154" i="73" s="1"/>
  <c r="O35" i="73"/>
  <c r="O101" i="73"/>
  <c r="O38" i="73"/>
  <c r="O104" i="73"/>
  <c r="O95" i="73"/>
  <c r="O74" i="73"/>
  <c r="O125" i="73"/>
  <c r="O117" i="73"/>
  <c r="O94" i="73"/>
  <c r="O108" i="73"/>
  <c r="O111" i="73"/>
  <c r="O90" i="73"/>
  <c r="O59" i="73"/>
  <c r="O40" i="73"/>
  <c r="O138" i="73"/>
  <c r="O77" i="73"/>
  <c r="O46" i="73"/>
  <c r="O88" i="73"/>
  <c r="O53" i="73"/>
  <c r="O136" i="73"/>
  <c r="O80" i="73"/>
  <c r="O71" i="73"/>
  <c r="O115" i="73"/>
  <c r="O67" i="73"/>
  <c r="O128" i="73"/>
  <c r="O105" i="73"/>
  <c r="O91" i="73"/>
  <c r="O87" i="73"/>
  <c r="O75" i="73"/>
  <c r="O60" i="73"/>
  <c r="O68" i="73"/>
  <c r="O129" i="73"/>
  <c r="O52" i="73"/>
  <c r="O92" i="73"/>
  <c r="O119" i="73"/>
  <c r="O118" i="73"/>
  <c r="O78" i="73"/>
  <c r="O36" i="73"/>
  <c r="O99" i="73"/>
  <c r="O51" i="73"/>
  <c r="O50" i="73"/>
  <c r="L35" i="72"/>
  <c r="L53" i="72"/>
  <c r="L52" i="72"/>
  <c r="L51" i="72"/>
  <c r="L50" i="72"/>
  <c r="L72" i="72"/>
  <c r="C172" i="73" l="1"/>
  <c r="C170" i="73"/>
  <c r="C167" i="72"/>
  <c r="K139" i="72"/>
  <c r="J139" i="72"/>
  <c r="I139" i="72"/>
  <c r="H139" i="72"/>
  <c r="G139" i="72"/>
  <c r="F139" i="72"/>
  <c r="E139" i="72"/>
  <c r="D139" i="72"/>
  <c r="C139" i="72"/>
  <c r="L138" i="72"/>
  <c r="N138" i="72" s="1"/>
  <c r="L137" i="72"/>
  <c r="N137" i="72" s="1"/>
  <c r="L136" i="72"/>
  <c r="N136" i="72" s="1"/>
  <c r="L135" i="72"/>
  <c r="N135" i="72" s="1"/>
  <c r="N131" i="72"/>
  <c r="L131" i="72"/>
  <c r="L130" i="72"/>
  <c r="N130" i="72" s="1"/>
  <c r="M129" i="72"/>
  <c r="L129" i="72"/>
  <c r="N129" i="72" s="1"/>
  <c r="N128" i="72"/>
  <c r="L128" i="72"/>
  <c r="N127" i="72"/>
  <c r="L127" i="72"/>
  <c r="N126" i="72"/>
  <c r="L126" i="72"/>
  <c r="N125" i="72"/>
  <c r="L125" i="72"/>
  <c r="N120" i="72"/>
  <c r="L120" i="72"/>
  <c r="L119" i="72"/>
  <c r="N119" i="72" s="1"/>
  <c r="L118" i="72"/>
  <c r="N118" i="72" s="1"/>
  <c r="N117" i="72"/>
  <c r="L117" i="72"/>
  <c r="L116" i="72"/>
  <c r="N116" i="72" s="1"/>
  <c r="L115" i="72"/>
  <c r="N115" i="72" s="1"/>
  <c r="L114" i="72"/>
  <c r="N113" i="72"/>
  <c r="L113" i="72"/>
  <c r="N112" i="72"/>
  <c r="L112" i="72"/>
  <c r="M111" i="72"/>
  <c r="L111" i="72"/>
  <c r="N111" i="72" s="1"/>
  <c r="N110" i="72"/>
  <c r="L110" i="72"/>
  <c r="M109" i="72"/>
  <c r="L109" i="72"/>
  <c r="N108" i="72"/>
  <c r="L108" i="72"/>
  <c r="N107" i="72"/>
  <c r="L107" i="72"/>
  <c r="N106" i="72"/>
  <c r="L106" i="72"/>
  <c r="N105" i="72"/>
  <c r="L105" i="72"/>
  <c r="N104" i="72"/>
  <c r="L104" i="72"/>
  <c r="N103" i="72"/>
  <c r="L103" i="72"/>
  <c r="M102" i="72"/>
  <c r="L102" i="72"/>
  <c r="N102" i="72" s="1"/>
  <c r="M101" i="72"/>
  <c r="L101" i="72"/>
  <c r="N101" i="72" s="1"/>
  <c r="L100" i="72"/>
  <c r="L99" i="72"/>
  <c r="N99" i="72" s="1"/>
  <c r="L98" i="72"/>
  <c r="N98" i="72" s="1"/>
  <c r="L97" i="72"/>
  <c r="N97" i="72" s="1"/>
  <c r="N96" i="72"/>
  <c r="M96" i="72"/>
  <c r="L96" i="72"/>
  <c r="N95" i="72"/>
  <c r="L95" i="72"/>
  <c r="N94" i="72"/>
  <c r="L94" i="72"/>
  <c r="N93" i="72"/>
  <c r="L93" i="72"/>
  <c r="M92" i="72"/>
  <c r="L92" i="72"/>
  <c r="N92" i="72" s="1"/>
  <c r="L91" i="72"/>
  <c r="N91" i="72" s="1"/>
  <c r="L90" i="72"/>
  <c r="M89" i="72"/>
  <c r="L89" i="72"/>
  <c r="N89" i="72" s="1"/>
  <c r="L88" i="72"/>
  <c r="N88" i="72" s="1"/>
  <c r="L87" i="72"/>
  <c r="N87" i="72" s="1"/>
  <c r="L86" i="72"/>
  <c r="N86" i="72" s="1"/>
  <c r="L85" i="72"/>
  <c r="N85" i="72" s="1"/>
  <c r="L84" i="72"/>
  <c r="N84" i="72" s="1"/>
  <c r="L80" i="72"/>
  <c r="N79" i="72"/>
  <c r="L79" i="72"/>
  <c r="N78" i="72"/>
  <c r="L78" i="72"/>
  <c r="N77" i="72"/>
  <c r="L77" i="72"/>
  <c r="L76" i="72"/>
  <c r="N76" i="72" s="1"/>
  <c r="L75" i="72"/>
  <c r="N75" i="72" s="1"/>
  <c r="L74" i="72"/>
  <c r="N74" i="72" s="1"/>
  <c r="L73" i="72"/>
  <c r="N73" i="72" s="1"/>
  <c r="N72" i="72"/>
  <c r="N71" i="72"/>
  <c r="L71" i="72"/>
  <c r="N70" i="72"/>
  <c r="M70" i="72"/>
  <c r="L70" i="72"/>
  <c r="L69" i="72"/>
  <c r="N69" i="72" s="1"/>
  <c r="L68" i="72"/>
  <c r="N67" i="72"/>
  <c r="L67" i="72"/>
  <c r="N66" i="72"/>
  <c r="L66" i="72"/>
  <c r="N65" i="72"/>
  <c r="L65" i="72"/>
  <c r="L64" i="72"/>
  <c r="N64" i="72" s="1"/>
  <c r="L63" i="72"/>
  <c r="N63" i="72" s="1"/>
  <c r="L62" i="72"/>
  <c r="N62" i="72" s="1"/>
  <c r="L61" i="72"/>
  <c r="N61" i="72" s="1"/>
  <c r="L60" i="72"/>
  <c r="L59" i="72"/>
  <c r="N59" i="72" s="1"/>
  <c r="L58" i="72"/>
  <c r="N58" i="72" s="1"/>
  <c r="L57" i="72"/>
  <c r="N57" i="72" s="1"/>
  <c r="L56" i="72"/>
  <c r="N56" i="72" s="1"/>
  <c r="L55" i="72"/>
  <c r="N55" i="72" s="1"/>
  <c r="L54" i="72"/>
  <c r="N54" i="72" s="1"/>
  <c r="M53" i="72"/>
  <c r="N53" i="72"/>
  <c r="N51" i="72"/>
  <c r="N50" i="72"/>
  <c r="M49" i="72"/>
  <c r="L49" i="72"/>
  <c r="N48" i="72"/>
  <c r="L48" i="72"/>
  <c r="L47" i="72"/>
  <c r="N47" i="72" s="1"/>
  <c r="L46" i="72"/>
  <c r="N46" i="72" s="1"/>
  <c r="L42" i="72"/>
  <c r="N42" i="72" s="1"/>
  <c r="N41" i="72"/>
  <c r="L41" i="72"/>
  <c r="L40" i="72"/>
  <c r="N40" i="72" s="1"/>
  <c r="L39" i="72"/>
  <c r="L38" i="72"/>
  <c r="N38" i="72" s="1"/>
  <c r="L37" i="72"/>
  <c r="N37" i="72" s="1"/>
  <c r="L36" i="72"/>
  <c r="N35" i="72"/>
  <c r="N34" i="72"/>
  <c r="M34" i="72"/>
  <c r="L34" i="72"/>
  <c r="N33" i="72"/>
  <c r="L33" i="72"/>
  <c r="L32" i="72"/>
  <c r="N32" i="72" s="1"/>
  <c r="N31" i="72"/>
  <c r="M139" i="72"/>
  <c r="L31" i="72"/>
  <c r="K26" i="72"/>
  <c r="J26" i="72"/>
  <c r="I26" i="72"/>
  <c r="H26" i="72"/>
  <c r="G26" i="72"/>
  <c r="F26" i="72"/>
  <c r="E26" i="72"/>
  <c r="D26" i="72"/>
  <c r="C26" i="72"/>
  <c r="N25" i="72"/>
  <c r="L25" i="72"/>
  <c r="N24" i="72"/>
  <c r="L24" i="72"/>
  <c r="N22" i="72"/>
  <c r="L22" i="72"/>
  <c r="N21" i="72"/>
  <c r="L21" i="72"/>
  <c r="N20" i="72"/>
  <c r="L20" i="72"/>
  <c r="L19" i="72"/>
  <c r="N19" i="72" s="1"/>
  <c r="L18" i="72"/>
  <c r="N18" i="72" s="1"/>
  <c r="L15" i="72"/>
  <c r="N13" i="72"/>
  <c r="L13" i="72"/>
  <c r="M12" i="72"/>
  <c r="L12" i="72"/>
  <c r="N12" i="72" s="1"/>
  <c r="L11" i="72"/>
  <c r="L10" i="72"/>
  <c r="C167" i="71"/>
  <c r="C160" i="71"/>
  <c r="C162" i="71"/>
  <c r="O100" i="72" l="1"/>
  <c r="O50" i="72"/>
  <c r="O137" i="72"/>
  <c r="L26" i="72"/>
  <c r="L139" i="72"/>
  <c r="O52" i="72"/>
  <c r="O53" i="72"/>
  <c r="O68" i="72"/>
  <c r="O80" i="72"/>
  <c r="O109" i="72"/>
  <c r="O130" i="72"/>
  <c r="O75" i="72"/>
  <c r="O40" i="72"/>
  <c r="O126" i="72"/>
  <c r="O112" i="72"/>
  <c r="O105" i="72"/>
  <c r="O95" i="72"/>
  <c r="O78" i="72"/>
  <c r="O71" i="72"/>
  <c r="O33" i="72"/>
  <c r="O115" i="72"/>
  <c r="O136" i="72"/>
  <c r="O74" i="72"/>
  <c r="O87" i="72"/>
  <c r="O62" i="72"/>
  <c r="O55" i="72"/>
  <c r="O76" i="72"/>
  <c r="O54" i="72"/>
  <c r="O47" i="72"/>
  <c r="O98" i="72"/>
  <c r="O125" i="72"/>
  <c r="O108" i="72"/>
  <c r="O104" i="72"/>
  <c r="O94" i="72"/>
  <c r="O77" i="72"/>
  <c r="O70" i="72"/>
  <c r="O67" i="72"/>
  <c r="O59" i="72"/>
  <c r="O111" i="72"/>
  <c r="O97" i="72"/>
  <c r="O32" i="72"/>
  <c r="O86" i="72"/>
  <c r="O69" i="72"/>
  <c r="O58" i="72"/>
  <c r="O84" i="72"/>
  <c r="C153" i="72"/>
  <c r="O135" i="72"/>
  <c r="O73" i="72"/>
  <c r="O42" i="72"/>
  <c r="O128" i="72"/>
  <c r="O120" i="72"/>
  <c r="O117" i="72"/>
  <c r="O107" i="72"/>
  <c r="O103" i="72"/>
  <c r="O93" i="72"/>
  <c r="O66" i="72"/>
  <c r="O51" i="72"/>
  <c r="O48" i="72"/>
  <c r="O38" i="72"/>
  <c r="O35" i="72"/>
  <c r="O88" i="72"/>
  <c r="O138" i="72"/>
  <c r="O61" i="72"/>
  <c r="O91" i="72"/>
  <c r="O46" i="72"/>
  <c r="O131" i="72"/>
  <c r="O110" i="72"/>
  <c r="O41" i="72"/>
  <c r="O127" i="72"/>
  <c r="O113" i="72"/>
  <c r="O106" i="72"/>
  <c r="O102" i="72"/>
  <c r="O99" i="72"/>
  <c r="O92" i="72"/>
  <c r="O89" i="72"/>
  <c r="O79" i="72"/>
  <c r="O65" i="72"/>
  <c r="O101" i="72"/>
  <c r="O116" i="72"/>
  <c r="O85" i="72"/>
  <c r="O57" i="72"/>
  <c r="O119" i="72"/>
  <c r="O118" i="72"/>
  <c r="O36" i="72"/>
  <c r="O72" i="72"/>
  <c r="O90" i="72"/>
  <c r="O96" i="72"/>
  <c r="O129" i="72"/>
  <c r="O37" i="72"/>
  <c r="O60" i="72"/>
  <c r="O114" i="72"/>
  <c r="O39" i="72"/>
  <c r="O49" i="72"/>
  <c r="O31" i="72"/>
  <c r="N10" i="72"/>
  <c r="N26" i="72" s="1"/>
  <c r="N80" i="72"/>
  <c r="N90" i="72"/>
  <c r="N100" i="72"/>
  <c r="N114" i="72"/>
  <c r="N36" i="72"/>
  <c r="N39" i="72"/>
  <c r="N49" i="72"/>
  <c r="N52" i="72"/>
  <c r="M26" i="72"/>
  <c r="O18" i="72" s="1"/>
  <c r="N15" i="72"/>
  <c r="N60" i="72"/>
  <c r="N68" i="72"/>
  <c r="N109" i="72"/>
  <c r="M96" i="71"/>
  <c r="N96" i="71" s="1"/>
  <c r="M70" i="71"/>
  <c r="M50" i="71"/>
  <c r="M137" i="71"/>
  <c r="M120" i="71"/>
  <c r="M117" i="71"/>
  <c r="M115" i="71"/>
  <c r="M114" i="71"/>
  <c r="M109" i="71"/>
  <c r="M102" i="71"/>
  <c r="M100" i="71"/>
  <c r="M99" i="71"/>
  <c r="M97" i="71"/>
  <c r="M92" i="71"/>
  <c r="M91" i="71"/>
  <c r="M90" i="71"/>
  <c r="M89" i="71"/>
  <c r="M84" i="71"/>
  <c r="M80" i="71"/>
  <c r="M76" i="71"/>
  <c r="M72" i="71"/>
  <c r="M69" i="71"/>
  <c r="M68" i="71"/>
  <c r="M56" i="71"/>
  <c r="M53" i="71"/>
  <c r="M52" i="71"/>
  <c r="M51" i="71"/>
  <c r="M47" i="71"/>
  <c r="M46" i="71"/>
  <c r="M39" i="71"/>
  <c r="M38" i="71"/>
  <c r="M37" i="71"/>
  <c r="M36" i="71"/>
  <c r="M34" i="71"/>
  <c r="N34" i="71" s="1"/>
  <c r="M33" i="71"/>
  <c r="M32" i="71"/>
  <c r="M31" i="71"/>
  <c r="N31" i="71" s="1"/>
  <c r="M20" i="71"/>
  <c r="M18" i="71"/>
  <c r="M15" i="71"/>
  <c r="M12" i="71"/>
  <c r="K139" i="71"/>
  <c r="J139" i="71"/>
  <c r="I139" i="71"/>
  <c r="H139" i="71"/>
  <c r="G139" i="71"/>
  <c r="F139" i="71"/>
  <c r="E139" i="71"/>
  <c r="D139" i="71"/>
  <c r="C139" i="71"/>
  <c r="L138" i="71"/>
  <c r="N138" i="71" s="1"/>
  <c r="N137" i="71"/>
  <c r="L137" i="71"/>
  <c r="L136" i="71"/>
  <c r="N136" i="71" s="1"/>
  <c r="N135" i="71"/>
  <c r="L135" i="71"/>
  <c r="N131" i="71"/>
  <c r="L131" i="71"/>
  <c r="L130" i="71"/>
  <c r="N130" i="71" s="1"/>
  <c r="M129" i="71"/>
  <c r="L129" i="71"/>
  <c r="N129" i="71" s="1"/>
  <c r="L128" i="71"/>
  <c r="N128" i="71" s="1"/>
  <c r="L127" i="71"/>
  <c r="N127" i="71" s="1"/>
  <c r="L126" i="71"/>
  <c r="N126" i="71" s="1"/>
  <c r="L125" i="71"/>
  <c r="N125" i="71" s="1"/>
  <c r="L120" i="71"/>
  <c r="N120" i="71" s="1"/>
  <c r="M119" i="71"/>
  <c r="L119" i="71"/>
  <c r="N119" i="71" s="1"/>
  <c r="M118" i="71"/>
  <c r="L118" i="71"/>
  <c r="N118" i="71" s="1"/>
  <c r="L117" i="71"/>
  <c r="N117" i="71" s="1"/>
  <c r="N116" i="71"/>
  <c r="L116" i="71"/>
  <c r="N115" i="71"/>
  <c r="L115" i="71"/>
  <c r="N114" i="71"/>
  <c r="L114" i="71"/>
  <c r="L113" i="71"/>
  <c r="N113" i="71" s="1"/>
  <c r="M112" i="71"/>
  <c r="L112" i="71"/>
  <c r="M111" i="71"/>
  <c r="L111" i="71"/>
  <c r="N110" i="71"/>
  <c r="L110" i="71"/>
  <c r="L109" i="71"/>
  <c r="N109" i="71" s="1"/>
  <c r="L108" i="71"/>
  <c r="N108" i="71" s="1"/>
  <c r="L107" i="71"/>
  <c r="N107" i="71" s="1"/>
  <c r="L106" i="71"/>
  <c r="N106" i="71" s="1"/>
  <c r="L105" i="71"/>
  <c r="N105" i="71" s="1"/>
  <c r="L104" i="71"/>
  <c r="N104" i="71" s="1"/>
  <c r="L103" i="71"/>
  <c r="N103" i="71" s="1"/>
  <c r="N102" i="71"/>
  <c r="L102" i="71"/>
  <c r="N101" i="71"/>
  <c r="M101" i="71"/>
  <c r="L101" i="71"/>
  <c r="N100" i="71"/>
  <c r="L100" i="71"/>
  <c r="N99" i="71"/>
  <c r="L99" i="71"/>
  <c r="N98" i="71"/>
  <c r="L98" i="71"/>
  <c r="L97" i="71"/>
  <c r="L96" i="71"/>
  <c r="L95" i="71"/>
  <c r="N95" i="71" s="1"/>
  <c r="L94" i="71"/>
  <c r="N94" i="71" s="1"/>
  <c r="L93" i="71"/>
  <c r="N93" i="71" s="1"/>
  <c r="N92" i="71"/>
  <c r="L92" i="71"/>
  <c r="N91" i="71"/>
  <c r="L91" i="71"/>
  <c r="N90" i="71"/>
  <c r="L90" i="71"/>
  <c r="N89" i="71"/>
  <c r="L89" i="71"/>
  <c r="N88" i="71"/>
  <c r="L88" i="71"/>
  <c r="L87" i="71"/>
  <c r="N87" i="71" s="1"/>
  <c r="L86" i="71"/>
  <c r="N86" i="71" s="1"/>
  <c r="N85" i="71"/>
  <c r="L85" i="71"/>
  <c r="N84" i="71"/>
  <c r="L84" i="71"/>
  <c r="N80" i="71"/>
  <c r="L80" i="71"/>
  <c r="L79" i="71"/>
  <c r="N79" i="71" s="1"/>
  <c r="L78" i="71"/>
  <c r="N78" i="71" s="1"/>
  <c r="M77" i="71"/>
  <c r="L77" i="71"/>
  <c r="N77" i="71" s="1"/>
  <c r="L76" i="71"/>
  <c r="L75" i="71"/>
  <c r="N75" i="71" s="1"/>
  <c r="L74" i="71"/>
  <c r="N74" i="71" s="1"/>
  <c r="N73" i="71"/>
  <c r="L73" i="71"/>
  <c r="N72" i="71"/>
  <c r="L72" i="71"/>
  <c r="L71" i="71"/>
  <c r="N71" i="71" s="1"/>
  <c r="L70" i="71"/>
  <c r="N70" i="71" s="1"/>
  <c r="L69" i="71"/>
  <c r="L68" i="71"/>
  <c r="N68" i="71" s="1"/>
  <c r="L67" i="71"/>
  <c r="N67" i="71" s="1"/>
  <c r="L66" i="71"/>
  <c r="N66" i="71" s="1"/>
  <c r="L65" i="71"/>
  <c r="N65" i="71" s="1"/>
  <c r="L64" i="71"/>
  <c r="N64" i="71" s="1"/>
  <c r="N63" i="71"/>
  <c r="L63" i="71"/>
  <c r="L62" i="71"/>
  <c r="N62" i="71" s="1"/>
  <c r="M61" i="71"/>
  <c r="L61" i="71"/>
  <c r="M60" i="71"/>
  <c r="L60" i="71"/>
  <c r="N60" i="71" s="1"/>
  <c r="M59" i="71"/>
  <c r="L59" i="71"/>
  <c r="N59" i="71" s="1"/>
  <c r="L58" i="71"/>
  <c r="N58" i="71" s="1"/>
  <c r="N57" i="71"/>
  <c r="L57" i="71"/>
  <c r="N56" i="71"/>
  <c r="L56" i="71"/>
  <c r="L55" i="71"/>
  <c r="N55" i="71" s="1"/>
  <c r="L54" i="71"/>
  <c r="N54" i="71" s="1"/>
  <c r="L53" i="71"/>
  <c r="N53" i="71" s="1"/>
  <c r="L52" i="71"/>
  <c r="N52" i="71" s="1"/>
  <c r="L51" i="71"/>
  <c r="N51" i="71" s="1"/>
  <c r="L50" i="71"/>
  <c r="N50" i="71" s="1"/>
  <c r="M49" i="71"/>
  <c r="L49" i="71"/>
  <c r="N49" i="71" s="1"/>
  <c r="L48" i="71"/>
  <c r="N48" i="71" s="1"/>
  <c r="N47" i="71"/>
  <c r="L47" i="71"/>
  <c r="N46" i="71"/>
  <c r="L46" i="71"/>
  <c r="N42" i="71"/>
  <c r="L42" i="71"/>
  <c r="N41" i="71"/>
  <c r="L41" i="71"/>
  <c r="L40" i="71"/>
  <c r="N40" i="71" s="1"/>
  <c r="L39" i="71"/>
  <c r="N39" i="71" s="1"/>
  <c r="L38" i="71"/>
  <c r="L139" i="71" s="1"/>
  <c r="L37" i="71"/>
  <c r="N37" i="71" s="1"/>
  <c r="L36" i="71"/>
  <c r="N36" i="71" s="1"/>
  <c r="L35" i="71"/>
  <c r="N35" i="71" s="1"/>
  <c r="L34" i="71"/>
  <c r="L33" i="71"/>
  <c r="N32" i="71"/>
  <c r="L32" i="71"/>
  <c r="L31" i="71"/>
  <c r="K26" i="71"/>
  <c r="J26" i="71"/>
  <c r="I26" i="71"/>
  <c r="H26" i="71"/>
  <c r="G26" i="71"/>
  <c r="F26" i="71"/>
  <c r="E26" i="71"/>
  <c r="D26" i="71"/>
  <c r="C26" i="71"/>
  <c r="L25" i="71"/>
  <c r="N25" i="71" s="1"/>
  <c r="L24" i="71"/>
  <c r="N24" i="71" s="1"/>
  <c r="L22" i="71"/>
  <c r="N22" i="71" s="1"/>
  <c r="L21" i="71"/>
  <c r="N21" i="71" s="1"/>
  <c r="L20" i="71"/>
  <c r="N20" i="71" s="1"/>
  <c r="L19" i="71"/>
  <c r="N19" i="71" s="1"/>
  <c r="N18" i="71"/>
  <c r="L18" i="71"/>
  <c r="L15" i="71"/>
  <c r="N15" i="71" s="1"/>
  <c r="L13" i="71"/>
  <c r="N13" i="71" s="1"/>
  <c r="L12" i="71"/>
  <c r="N12" i="71" s="1"/>
  <c r="L11" i="71"/>
  <c r="M10" i="71"/>
  <c r="L10" i="71"/>
  <c r="L26" i="71" s="1"/>
  <c r="N139" i="72" l="1"/>
  <c r="O13" i="72"/>
  <c r="O19" i="72"/>
  <c r="O21" i="72"/>
  <c r="O24" i="72"/>
  <c r="O22" i="72"/>
  <c r="O20" i="72"/>
  <c r="C152" i="72"/>
  <c r="C154" i="72" s="1"/>
  <c r="O12" i="72"/>
  <c r="O25" i="72"/>
  <c r="O10" i="72"/>
  <c r="O15" i="72"/>
  <c r="N61" i="71"/>
  <c r="N69" i="71"/>
  <c r="N76" i="71"/>
  <c r="M139" i="71"/>
  <c r="N38" i="71"/>
  <c r="N97" i="71"/>
  <c r="N111" i="71"/>
  <c r="M26" i="71"/>
  <c r="O20" i="71" s="1"/>
  <c r="N33" i="71"/>
  <c r="N139" i="71" s="1"/>
  <c r="N112" i="71"/>
  <c r="N10" i="71"/>
  <c r="N26" i="71" s="1"/>
  <c r="C172" i="72" l="1"/>
  <c r="C170" i="72"/>
  <c r="O18" i="71"/>
  <c r="O10" i="71"/>
  <c r="O137" i="71"/>
  <c r="O119" i="71"/>
  <c r="O116" i="71"/>
  <c r="O85" i="71"/>
  <c r="O57" i="71"/>
  <c r="O53" i="71"/>
  <c r="O50" i="71"/>
  <c r="O37" i="71"/>
  <c r="O129" i="71"/>
  <c r="O49" i="71"/>
  <c r="O117" i="71"/>
  <c r="O31" i="71"/>
  <c r="O130" i="71"/>
  <c r="O75" i="71"/>
  <c r="O40" i="71"/>
  <c r="O136" i="71"/>
  <c r="O118" i="71"/>
  <c r="O36" i="71"/>
  <c r="O103" i="71"/>
  <c r="O35" i="71"/>
  <c r="O92" i="71"/>
  <c r="O126" i="71"/>
  <c r="O105" i="71"/>
  <c r="O95" i="71"/>
  <c r="O78" i="71"/>
  <c r="O71" i="71"/>
  <c r="O128" i="71"/>
  <c r="O106" i="71"/>
  <c r="O89" i="71"/>
  <c r="O65" i="71"/>
  <c r="O47" i="71"/>
  <c r="O115" i="71"/>
  <c r="O101" i="71"/>
  <c r="O98" i="71"/>
  <c r="O91" i="71"/>
  <c r="O88" i="71"/>
  <c r="O84" i="71"/>
  <c r="O46" i="71"/>
  <c r="O74" i="71"/>
  <c r="O52" i="71"/>
  <c r="O39" i="71"/>
  <c r="O99" i="71"/>
  <c r="O127" i="71"/>
  <c r="O125" i="71"/>
  <c r="O108" i="71"/>
  <c r="O104" i="71"/>
  <c r="O94" i="71"/>
  <c r="O67" i="71"/>
  <c r="O135" i="71"/>
  <c r="O73" i="71"/>
  <c r="O66" i="71"/>
  <c r="O102" i="71"/>
  <c r="O87" i="71"/>
  <c r="O62" i="71"/>
  <c r="O55" i="71"/>
  <c r="C153" i="71"/>
  <c r="O114" i="71"/>
  <c r="O100" i="71"/>
  <c r="O90" i="71"/>
  <c r="O80" i="71"/>
  <c r="O42" i="71"/>
  <c r="O120" i="71"/>
  <c r="O107" i="71"/>
  <c r="O93" i="71"/>
  <c r="O48" i="71"/>
  <c r="O113" i="71"/>
  <c r="O79" i="71"/>
  <c r="O138" i="71"/>
  <c r="O86" i="71"/>
  <c r="O58" i="71"/>
  <c r="O54" i="71"/>
  <c r="O131" i="71"/>
  <c r="O110" i="71"/>
  <c r="O96" i="71"/>
  <c r="O72" i="71"/>
  <c r="O41" i="71"/>
  <c r="O112" i="71"/>
  <c r="O77" i="71"/>
  <c r="O61" i="71"/>
  <c r="O33" i="71"/>
  <c r="O59" i="71"/>
  <c r="O111" i="71"/>
  <c r="O15" i="71"/>
  <c r="C152" i="71"/>
  <c r="O25" i="71"/>
  <c r="O21" i="71"/>
  <c r="O24" i="71"/>
  <c r="O13" i="71"/>
  <c r="O22" i="71"/>
  <c r="O19" i="71"/>
  <c r="O70" i="71"/>
  <c r="O38" i="71"/>
  <c r="O32" i="71"/>
  <c r="O69" i="71"/>
  <c r="O68" i="71"/>
  <c r="O97" i="71"/>
  <c r="O76" i="71"/>
  <c r="O51" i="71"/>
  <c r="O60" i="71"/>
  <c r="O109" i="71"/>
  <c r="O12" i="71"/>
  <c r="C154" i="71" l="1"/>
  <c r="C172" i="71" s="1"/>
  <c r="C159" i="69"/>
  <c r="M31" i="69"/>
  <c r="C170" i="71" l="1"/>
  <c r="C160" i="69"/>
  <c r="C161" i="69"/>
  <c r="M20" i="69"/>
  <c r="M137" i="69" l="1"/>
  <c r="M120" i="69"/>
  <c r="M119" i="69"/>
  <c r="M115" i="69"/>
  <c r="M114" i="69"/>
  <c r="M102" i="69"/>
  <c r="M100" i="69"/>
  <c r="M97" i="69"/>
  <c r="M96" i="69"/>
  <c r="M91" i="69"/>
  <c r="M90" i="69"/>
  <c r="M84" i="69"/>
  <c r="M80" i="69"/>
  <c r="M77" i="69"/>
  <c r="M76" i="69"/>
  <c r="M72" i="69"/>
  <c r="M69" i="69"/>
  <c r="M68" i="69"/>
  <c r="M56" i="69"/>
  <c r="M53" i="69"/>
  <c r="M52" i="69"/>
  <c r="M51" i="69"/>
  <c r="M50" i="69"/>
  <c r="M47" i="69"/>
  <c r="M46" i="69"/>
  <c r="M39" i="69"/>
  <c r="M38" i="69"/>
  <c r="N38" i="69" s="1"/>
  <c r="M37" i="69"/>
  <c r="M36" i="69"/>
  <c r="M33" i="69"/>
  <c r="M32" i="69"/>
  <c r="M18" i="69"/>
  <c r="M15" i="69"/>
  <c r="M10" i="69"/>
  <c r="C167" i="69"/>
  <c r="K139" i="69"/>
  <c r="J139" i="69"/>
  <c r="I139" i="69"/>
  <c r="H139" i="69"/>
  <c r="G139" i="69"/>
  <c r="F139" i="69"/>
  <c r="E139" i="69"/>
  <c r="D139" i="69"/>
  <c r="C139" i="69"/>
  <c r="N138" i="69"/>
  <c r="L138" i="69"/>
  <c r="N137" i="69"/>
  <c r="L137" i="69"/>
  <c r="N136" i="69"/>
  <c r="L136" i="69"/>
  <c r="L135" i="69"/>
  <c r="N135" i="69" s="1"/>
  <c r="L131" i="69"/>
  <c r="N131" i="69" s="1"/>
  <c r="L130" i="69"/>
  <c r="N130" i="69" s="1"/>
  <c r="M129" i="69"/>
  <c r="L129" i="69"/>
  <c r="N129" i="69" s="1"/>
  <c r="L128" i="69"/>
  <c r="N128" i="69" s="1"/>
  <c r="L127" i="69"/>
  <c r="N127" i="69" s="1"/>
  <c r="L126" i="69"/>
  <c r="N126" i="69" s="1"/>
  <c r="L125" i="69"/>
  <c r="N125" i="69" s="1"/>
  <c r="L120" i="69"/>
  <c r="N119" i="69"/>
  <c r="L119" i="69"/>
  <c r="M118" i="69"/>
  <c r="N118" i="69" s="1"/>
  <c r="L118" i="69"/>
  <c r="M117" i="69"/>
  <c r="L117" i="69"/>
  <c r="N117" i="69" s="1"/>
  <c r="L116" i="69"/>
  <c r="N116" i="69" s="1"/>
  <c r="L115" i="69"/>
  <c r="N115" i="69" s="1"/>
  <c r="N114" i="69"/>
  <c r="L114" i="69"/>
  <c r="L113" i="69"/>
  <c r="N113" i="69" s="1"/>
  <c r="M112" i="69"/>
  <c r="L112" i="69"/>
  <c r="N112" i="69" s="1"/>
  <c r="M111" i="69"/>
  <c r="L111" i="69"/>
  <c r="N110" i="69"/>
  <c r="L110" i="69"/>
  <c r="N109" i="69"/>
  <c r="M109" i="69"/>
  <c r="L109" i="69"/>
  <c r="N108" i="69"/>
  <c r="L108" i="69"/>
  <c r="L107" i="69"/>
  <c r="N107" i="69" s="1"/>
  <c r="L106" i="69"/>
  <c r="N106" i="69" s="1"/>
  <c r="L105" i="69"/>
  <c r="N105" i="69" s="1"/>
  <c r="N104" i="69"/>
  <c r="L104" i="69"/>
  <c r="L103" i="69"/>
  <c r="N103" i="69" s="1"/>
  <c r="L102" i="69"/>
  <c r="N102" i="69" s="1"/>
  <c r="M101" i="69"/>
  <c r="L101" i="69"/>
  <c r="N101" i="69" s="1"/>
  <c r="L100" i="69"/>
  <c r="N99" i="69"/>
  <c r="M99" i="69"/>
  <c r="L99" i="69"/>
  <c r="L98" i="69"/>
  <c r="N98" i="69" s="1"/>
  <c r="L97" i="69"/>
  <c r="N97" i="69" s="1"/>
  <c r="L96" i="69"/>
  <c r="N95" i="69"/>
  <c r="L95" i="69"/>
  <c r="L94" i="69"/>
  <c r="N94" i="69" s="1"/>
  <c r="N93" i="69"/>
  <c r="L93" i="69"/>
  <c r="N92" i="69"/>
  <c r="M92" i="69"/>
  <c r="L92" i="69"/>
  <c r="L91" i="69"/>
  <c r="N91" i="69" s="1"/>
  <c r="L90" i="69"/>
  <c r="N89" i="69"/>
  <c r="M89" i="69"/>
  <c r="L89" i="69"/>
  <c r="L88" i="69"/>
  <c r="N88" i="69" s="1"/>
  <c r="N87" i="69"/>
  <c r="L87" i="69"/>
  <c r="L86" i="69"/>
  <c r="N86" i="69" s="1"/>
  <c r="L85" i="69"/>
  <c r="N85" i="69" s="1"/>
  <c r="L84" i="69"/>
  <c r="N84" i="69" s="1"/>
  <c r="L80" i="69"/>
  <c r="N79" i="69"/>
  <c r="L79" i="69"/>
  <c r="N78" i="69"/>
  <c r="L78" i="69"/>
  <c r="N77" i="69"/>
  <c r="L77" i="69"/>
  <c r="L76" i="69"/>
  <c r="N76" i="69" s="1"/>
  <c r="L75" i="69"/>
  <c r="N75" i="69" s="1"/>
  <c r="L74" i="69"/>
  <c r="N74" i="69" s="1"/>
  <c r="L73" i="69"/>
  <c r="N73" i="69" s="1"/>
  <c r="L72" i="69"/>
  <c r="N71" i="69"/>
  <c r="L71" i="69"/>
  <c r="M70" i="69"/>
  <c r="N70" i="69" s="1"/>
  <c r="L70" i="69"/>
  <c r="L69" i="69"/>
  <c r="N69" i="69" s="1"/>
  <c r="L68" i="69"/>
  <c r="L67" i="69"/>
  <c r="N67" i="69" s="1"/>
  <c r="N66" i="69"/>
  <c r="L66" i="69"/>
  <c r="N65" i="69"/>
  <c r="L65" i="69"/>
  <c r="L64" i="69"/>
  <c r="N64" i="69" s="1"/>
  <c r="L63" i="69"/>
  <c r="N63" i="69" s="1"/>
  <c r="N62" i="69"/>
  <c r="L62" i="69"/>
  <c r="M61" i="69"/>
  <c r="L61" i="69"/>
  <c r="N61" i="69" s="1"/>
  <c r="M60" i="69"/>
  <c r="L60" i="69"/>
  <c r="M59" i="69"/>
  <c r="L59" i="69"/>
  <c r="L58" i="69"/>
  <c r="N58" i="69" s="1"/>
  <c r="L57" i="69"/>
  <c r="N57" i="69" s="1"/>
  <c r="L56" i="69"/>
  <c r="N56" i="69" s="1"/>
  <c r="N55" i="69"/>
  <c r="L55" i="69"/>
  <c r="L54" i="69"/>
  <c r="N54" i="69" s="1"/>
  <c r="L53" i="69"/>
  <c r="N53" i="69" s="1"/>
  <c r="L52" i="69"/>
  <c r="N52" i="69" s="1"/>
  <c r="N51" i="69"/>
  <c r="L51" i="69"/>
  <c r="L50" i="69"/>
  <c r="N50" i="69" s="1"/>
  <c r="M49" i="69"/>
  <c r="L49" i="69"/>
  <c r="N49" i="69" s="1"/>
  <c r="N48" i="69"/>
  <c r="L48" i="69"/>
  <c r="N47" i="69"/>
  <c r="L47" i="69"/>
  <c r="L46" i="69"/>
  <c r="L42" i="69"/>
  <c r="N42" i="69" s="1"/>
  <c r="L41" i="69"/>
  <c r="N41" i="69" s="1"/>
  <c r="L40" i="69"/>
  <c r="N40" i="69" s="1"/>
  <c r="L39" i="69"/>
  <c r="N39" i="69" s="1"/>
  <c r="L38" i="69"/>
  <c r="L37" i="69"/>
  <c r="N37" i="69" s="1"/>
  <c r="L36" i="69"/>
  <c r="N36" i="69" s="1"/>
  <c r="N35" i="69"/>
  <c r="L35" i="69"/>
  <c r="M34" i="69"/>
  <c r="N34" i="69" s="1"/>
  <c r="L34" i="69"/>
  <c r="L33" i="69"/>
  <c r="N33" i="69" s="1"/>
  <c r="L32" i="69"/>
  <c r="L31" i="69"/>
  <c r="L139" i="69" s="1"/>
  <c r="K26" i="69"/>
  <c r="J26" i="69"/>
  <c r="I26" i="69"/>
  <c r="H26" i="69"/>
  <c r="G26" i="69"/>
  <c r="F26" i="69"/>
  <c r="E26" i="69"/>
  <c r="D26" i="69"/>
  <c r="C26" i="69"/>
  <c r="N25" i="69"/>
  <c r="L25" i="69"/>
  <c r="L24" i="69"/>
  <c r="N24" i="69" s="1"/>
  <c r="N22" i="69"/>
  <c r="L22" i="69"/>
  <c r="N21" i="69"/>
  <c r="L21" i="69"/>
  <c r="L20" i="69"/>
  <c r="N20" i="69" s="1"/>
  <c r="N19" i="69"/>
  <c r="L19" i="69"/>
  <c r="L18" i="69"/>
  <c r="N18" i="69" s="1"/>
  <c r="L15" i="69"/>
  <c r="L13" i="69"/>
  <c r="N13" i="69" s="1"/>
  <c r="N12" i="69"/>
  <c r="M12" i="69"/>
  <c r="L12" i="69"/>
  <c r="L11" i="69"/>
  <c r="L10" i="69"/>
  <c r="L26" i="69" s="1"/>
  <c r="C160" i="68"/>
  <c r="M12" i="68"/>
  <c r="M26" i="68" s="1"/>
  <c r="C162" i="68"/>
  <c r="C161" i="68"/>
  <c r="M137" i="68"/>
  <c r="M118" i="68"/>
  <c r="M115" i="68"/>
  <c r="M114" i="68"/>
  <c r="M112" i="68"/>
  <c r="M111" i="68"/>
  <c r="M109" i="68"/>
  <c r="M100" i="68"/>
  <c r="M99" i="68"/>
  <c r="M97" i="68"/>
  <c r="M96" i="68"/>
  <c r="M91" i="68"/>
  <c r="M90" i="68"/>
  <c r="M84" i="68"/>
  <c r="N84" i="68" s="1"/>
  <c r="M80" i="68"/>
  <c r="N80" i="68" s="1"/>
  <c r="M76" i="68"/>
  <c r="M72" i="68"/>
  <c r="M70" i="68"/>
  <c r="M69" i="68"/>
  <c r="M68" i="68"/>
  <c r="M56" i="68"/>
  <c r="M53" i="68"/>
  <c r="M52" i="68"/>
  <c r="M51" i="68"/>
  <c r="M50" i="68"/>
  <c r="M47" i="68"/>
  <c r="M46" i="68"/>
  <c r="M39" i="68"/>
  <c r="M38" i="68"/>
  <c r="M36" i="68"/>
  <c r="M33" i="68"/>
  <c r="M32" i="68"/>
  <c r="M31" i="68"/>
  <c r="M20" i="68"/>
  <c r="M18" i="68"/>
  <c r="M15" i="68"/>
  <c r="M10" i="68"/>
  <c r="K139" i="68"/>
  <c r="J139" i="68"/>
  <c r="I139" i="68"/>
  <c r="H139" i="68"/>
  <c r="G139" i="68"/>
  <c r="F139" i="68"/>
  <c r="E139" i="68"/>
  <c r="D139" i="68"/>
  <c r="C139" i="68"/>
  <c r="L138" i="68"/>
  <c r="N138" i="68" s="1"/>
  <c r="L137" i="68"/>
  <c r="N137" i="68" s="1"/>
  <c r="L136" i="68"/>
  <c r="N136" i="68" s="1"/>
  <c r="N135" i="68"/>
  <c r="L135" i="68"/>
  <c r="N131" i="68"/>
  <c r="L131" i="68"/>
  <c r="L130" i="68"/>
  <c r="N130" i="68" s="1"/>
  <c r="M129" i="68"/>
  <c r="L129" i="68"/>
  <c r="N129" i="68" s="1"/>
  <c r="N128" i="68"/>
  <c r="L128" i="68"/>
  <c r="N127" i="68"/>
  <c r="L127" i="68"/>
  <c r="N126" i="68"/>
  <c r="L126" i="68"/>
  <c r="L125" i="68"/>
  <c r="N125" i="68" s="1"/>
  <c r="M120" i="68"/>
  <c r="L120" i="68"/>
  <c r="N120" i="68" s="1"/>
  <c r="L119" i="68"/>
  <c r="N119" i="68" s="1"/>
  <c r="N118" i="68"/>
  <c r="L118" i="68"/>
  <c r="M117" i="68"/>
  <c r="N117" i="68" s="1"/>
  <c r="L117" i="68"/>
  <c r="N116" i="68"/>
  <c r="L116" i="68"/>
  <c r="L115" i="68"/>
  <c r="L114" i="68"/>
  <c r="L113" i="68"/>
  <c r="N113" i="68" s="1"/>
  <c r="L112" i="68"/>
  <c r="N112" i="68" s="1"/>
  <c r="L111" i="68"/>
  <c r="N110" i="68"/>
  <c r="L110" i="68"/>
  <c r="N109" i="68"/>
  <c r="L109" i="68"/>
  <c r="N108" i="68"/>
  <c r="L108" i="68"/>
  <c r="L107" i="68"/>
  <c r="N107" i="68" s="1"/>
  <c r="N106" i="68"/>
  <c r="L106" i="68"/>
  <c r="N105" i="68"/>
  <c r="L105" i="68"/>
  <c r="N104" i="68"/>
  <c r="L104" i="68"/>
  <c r="L103" i="68"/>
  <c r="N103" i="68" s="1"/>
  <c r="L102" i="68"/>
  <c r="N102" i="68" s="1"/>
  <c r="M101" i="68"/>
  <c r="L101" i="68"/>
  <c r="N101" i="68" s="1"/>
  <c r="L100" i="68"/>
  <c r="N100" i="68" s="1"/>
  <c r="N99" i="68"/>
  <c r="L99" i="68"/>
  <c r="N98" i="68"/>
  <c r="L98" i="68"/>
  <c r="N97" i="68"/>
  <c r="L97" i="68"/>
  <c r="L96" i="68"/>
  <c r="L95" i="68"/>
  <c r="N95" i="68" s="1"/>
  <c r="L94" i="68"/>
  <c r="N94" i="68" s="1"/>
  <c r="N93" i="68"/>
  <c r="L93" i="68"/>
  <c r="M92" i="68"/>
  <c r="N92" i="68" s="1"/>
  <c r="L92" i="68"/>
  <c r="N91" i="68"/>
  <c r="L91" i="68"/>
  <c r="N90" i="68"/>
  <c r="L90" i="68"/>
  <c r="M89" i="68"/>
  <c r="L89" i="68"/>
  <c r="N88" i="68"/>
  <c r="L88" i="68"/>
  <c r="L87" i="68"/>
  <c r="N87" i="68" s="1"/>
  <c r="L86" i="68"/>
  <c r="N86" i="68" s="1"/>
  <c r="N85" i="68"/>
  <c r="L85" i="68"/>
  <c r="L84" i="68"/>
  <c r="L80" i="68"/>
  <c r="L79" i="68"/>
  <c r="N79" i="68" s="1"/>
  <c r="L78" i="68"/>
  <c r="N78" i="68" s="1"/>
  <c r="M77" i="68"/>
  <c r="L77" i="68"/>
  <c r="N77" i="68" s="1"/>
  <c r="L76" i="68"/>
  <c r="N76" i="68" s="1"/>
  <c r="N75" i="68"/>
  <c r="L75" i="68"/>
  <c r="L74" i="68"/>
  <c r="N74" i="68" s="1"/>
  <c r="N73" i="68"/>
  <c r="L73" i="68"/>
  <c r="L72" i="68"/>
  <c r="N72" i="68" s="1"/>
  <c r="L71" i="68"/>
  <c r="N71" i="68" s="1"/>
  <c r="L70" i="68"/>
  <c r="N70" i="68" s="1"/>
  <c r="L69" i="68"/>
  <c r="N69" i="68" s="1"/>
  <c r="L68" i="68"/>
  <c r="L67" i="68"/>
  <c r="N67" i="68" s="1"/>
  <c r="L66" i="68"/>
  <c r="N66" i="68" s="1"/>
  <c r="L65" i="68"/>
  <c r="N65" i="68" s="1"/>
  <c r="L64" i="68"/>
  <c r="N64" i="68" s="1"/>
  <c r="N63" i="68"/>
  <c r="L63" i="68"/>
  <c r="L62" i="68"/>
  <c r="N62" i="68" s="1"/>
  <c r="M61" i="68"/>
  <c r="L61" i="68"/>
  <c r="N61" i="68" s="1"/>
  <c r="M60" i="68"/>
  <c r="L60" i="68"/>
  <c r="N60" i="68" s="1"/>
  <c r="M59" i="68"/>
  <c r="L59" i="68"/>
  <c r="N59" i="68" s="1"/>
  <c r="L58" i="68"/>
  <c r="N58" i="68" s="1"/>
  <c r="N57" i="68"/>
  <c r="L57" i="68"/>
  <c r="N56" i="68"/>
  <c r="L56" i="68"/>
  <c r="L55" i="68"/>
  <c r="N55" i="68" s="1"/>
  <c r="L54" i="68"/>
  <c r="N54" i="68" s="1"/>
  <c r="N53" i="68"/>
  <c r="L53" i="68"/>
  <c r="L52" i="68"/>
  <c r="N52" i="68" s="1"/>
  <c r="L51" i="68"/>
  <c r="N51" i="68" s="1"/>
  <c r="N50" i="68"/>
  <c r="L50" i="68"/>
  <c r="M49" i="68"/>
  <c r="L49" i="68"/>
  <c r="N49" i="68" s="1"/>
  <c r="L48" i="68"/>
  <c r="N48" i="68" s="1"/>
  <c r="L47" i="68"/>
  <c r="L46" i="68"/>
  <c r="N46" i="68" s="1"/>
  <c r="N42" i="68"/>
  <c r="L42" i="68"/>
  <c r="L41" i="68"/>
  <c r="N41" i="68" s="1"/>
  <c r="L40" i="68"/>
  <c r="N40" i="68" s="1"/>
  <c r="L39" i="68"/>
  <c r="N39" i="68" s="1"/>
  <c r="L38" i="68"/>
  <c r="N38" i="68" s="1"/>
  <c r="N37" i="68"/>
  <c r="M37" i="68"/>
  <c r="L37" i="68"/>
  <c r="L36" i="68"/>
  <c r="N36" i="68" s="1"/>
  <c r="N35" i="68"/>
  <c r="L35" i="68"/>
  <c r="M34" i="68"/>
  <c r="L34" i="68"/>
  <c r="N34" i="68" s="1"/>
  <c r="L33" i="68"/>
  <c r="N33" i="68" s="1"/>
  <c r="L32" i="68"/>
  <c r="N32" i="68" s="1"/>
  <c r="L31" i="68"/>
  <c r="N31" i="68" s="1"/>
  <c r="K26" i="68"/>
  <c r="J26" i="68"/>
  <c r="I26" i="68"/>
  <c r="H26" i="68"/>
  <c r="G26" i="68"/>
  <c r="F26" i="68"/>
  <c r="E26" i="68"/>
  <c r="D26" i="68"/>
  <c r="C26" i="68"/>
  <c r="L25" i="68"/>
  <c r="N25" i="68" s="1"/>
  <c r="L24" i="68"/>
  <c r="N24" i="68" s="1"/>
  <c r="N22" i="68"/>
  <c r="L22" i="68"/>
  <c r="L21" i="68"/>
  <c r="N21" i="68" s="1"/>
  <c r="L20" i="68"/>
  <c r="N20" i="68" s="1"/>
  <c r="L19" i="68"/>
  <c r="N19" i="68" s="1"/>
  <c r="L18" i="68"/>
  <c r="N18" i="68" s="1"/>
  <c r="N15" i="68"/>
  <c r="L15" i="68"/>
  <c r="L13" i="68"/>
  <c r="N13" i="68" s="1"/>
  <c r="L12" i="68"/>
  <c r="L11" i="68"/>
  <c r="N10" i="68"/>
  <c r="L10" i="68"/>
  <c r="L26" i="68" s="1"/>
  <c r="C161" i="67"/>
  <c r="C162" i="67"/>
  <c r="C160" i="67"/>
  <c r="M26" i="67"/>
  <c r="M137" i="67"/>
  <c r="M120" i="67"/>
  <c r="M117" i="67"/>
  <c r="M115" i="67"/>
  <c r="M114" i="67"/>
  <c r="M112" i="67"/>
  <c r="M101" i="67"/>
  <c r="M100" i="67"/>
  <c r="M99" i="67"/>
  <c r="M97" i="67"/>
  <c r="M92" i="67"/>
  <c r="M91" i="67"/>
  <c r="M90" i="67"/>
  <c r="M84" i="67"/>
  <c r="M80" i="67"/>
  <c r="M77" i="67"/>
  <c r="M76" i="67"/>
  <c r="M72" i="67"/>
  <c r="M69" i="67"/>
  <c r="M68" i="67"/>
  <c r="M60" i="67"/>
  <c r="M59" i="67"/>
  <c r="M56" i="67"/>
  <c r="M53" i="67"/>
  <c r="M52" i="67"/>
  <c r="M51" i="67"/>
  <c r="M50" i="67"/>
  <c r="M47" i="67"/>
  <c r="M46" i="67"/>
  <c r="M39" i="67"/>
  <c r="M38" i="67"/>
  <c r="M37" i="67"/>
  <c r="M34" i="67"/>
  <c r="M33" i="67"/>
  <c r="M32" i="67"/>
  <c r="M31" i="67"/>
  <c r="M18" i="67"/>
  <c r="M15" i="67"/>
  <c r="M10" i="67"/>
  <c r="N46" i="69" l="1"/>
  <c r="N32" i="69"/>
  <c r="M139" i="69"/>
  <c r="O130" i="69" s="1"/>
  <c r="N31" i="69"/>
  <c r="N72" i="69"/>
  <c r="N96" i="69"/>
  <c r="N120" i="69"/>
  <c r="N80" i="69"/>
  <c r="N90" i="69"/>
  <c r="N100" i="69"/>
  <c r="N111" i="69"/>
  <c r="N59" i="69"/>
  <c r="M26" i="69"/>
  <c r="O15" i="69" s="1"/>
  <c r="N10" i="69"/>
  <c r="N15" i="69"/>
  <c r="N60" i="69"/>
  <c r="N68" i="69"/>
  <c r="N12" i="68"/>
  <c r="C167" i="68"/>
  <c r="N114" i="68"/>
  <c r="N111" i="68"/>
  <c r="N96" i="68"/>
  <c r="N68" i="68"/>
  <c r="O19" i="68"/>
  <c r="O22" i="68"/>
  <c r="O18" i="68"/>
  <c r="O12" i="68"/>
  <c r="O21" i="68"/>
  <c r="O15" i="68"/>
  <c r="O10" i="68"/>
  <c r="C152" i="68"/>
  <c r="O20" i="68"/>
  <c r="O25" i="68"/>
  <c r="O24" i="68"/>
  <c r="O13" i="68"/>
  <c r="N26" i="68"/>
  <c r="N115" i="68"/>
  <c r="L139" i="68"/>
  <c r="M139" i="68"/>
  <c r="O32" i="68" s="1"/>
  <c r="N47" i="68"/>
  <c r="N89" i="68"/>
  <c r="M10" i="66"/>
  <c r="M10" i="65"/>
  <c r="C167" i="67"/>
  <c r="K139" i="67"/>
  <c r="J139" i="67"/>
  <c r="I139" i="67"/>
  <c r="H139" i="67"/>
  <c r="G139" i="67"/>
  <c r="F139" i="67"/>
  <c r="E139" i="67"/>
  <c r="D139" i="67"/>
  <c r="C139" i="67"/>
  <c r="L138" i="67"/>
  <c r="N138" i="67" s="1"/>
  <c r="L137" i="67"/>
  <c r="N137" i="67" s="1"/>
  <c r="L136" i="67"/>
  <c r="N136" i="67" s="1"/>
  <c r="L135" i="67"/>
  <c r="N135" i="67" s="1"/>
  <c r="N131" i="67"/>
  <c r="L131" i="67"/>
  <c r="L130" i="67"/>
  <c r="N130" i="67" s="1"/>
  <c r="M129" i="67"/>
  <c r="L129" i="67"/>
  <c r="N128" i="67"/>
  <c r="L128" i="67"/>
  <c r="N127" i="67"/>
  <c r="L127" i="67"/>
  <c r="L126" i="67"/>
  <c r="N126" i="67" s="1"/>
  <c r="N125" i="67"/>
  <c r="L125" i="67"/>
  <c r="L120" i="67"/>
  <c r="N120" i="67" s="1"/>
  <c r="N119" i="67"/>
  <c r="L119" i="67"/>
  <c r="L118" i="67"/>
  <c r="N118" i="67" s="1"/>
  <c r="N117" i="67"/>
  <c r="L117" i="67"/>
  <c r="L116" i="67"/>
  <c r="N116" i="67" s="1"/>
  <c r="L115" i="67"/>
  <c r="N115" i="67" s="1"/>
  <c r="L114" i="67"/>
  <c r="N113" i="67"/>
  <c r="L113" i="67"/>
  <c r="N112" i="67"/>
  <c r="L112" i="67"/>
  <c r="L111" i="67"/>
  <c r="N111" i="67" s="1"/>
  <c r="N110" i="67"/>
  <c r="L110" i="67"/>
  <c r="M109" i="67"/>
  <c r="L109" i="67"/>
  <c r="N109" i="67" s="1"/>
  <c r="L108" i="67"/>
  <c r="N108" i="67" s="1"/>
  <c r="L107" i="67"/>
  <c r="N107" i="67" s="1"/>
  <c r="L106" i="67"/>
  <c r="N106" i="67" s="1"/>
  <c r="N105" i="67"/>
  <c r="L105" i="67"/>
  <c r="L104" i="67"/>
  <c r="N104" i="67" s="1"/>
  <c r="L103" i="67"/>
  <c r="N103" i="67" s="1"/>
  <c r="L102" i="67"/>
  <c r="N102" i="67" s="1"/>
  <c r="N101" i="67"/>
  <c r="L101" i="67"/>
  <c r="L100" i="67"/>
  <c r="N100" i="67" s="1"/>
  <c r="N99" i="67"/>
  <c r="L99" i="67"/>
  <c r="L98" i="67"/>
  <c r="N98" i="67" s="1"/>
  <c r="L97" i="67"/>
  <c r="N97" i="67" s="1"/>
  <c r="L96" i="67"/>
  <c r="N96" i="67" s="1"/>
  <c r="L95" i="67"/>
  <c r="N95" i="67" s="1"/>
  <c r="N94" i="67"/>
  <c r="L94" i="67"/>
  <c r="L93" i="67"/>
  <c r="N93" i="67" s="1"/>
  <c r="L92" i="67"/>
  <c r="L91" i="67"/>
  <c r="N91" i="67" s="1"/>
  <c r="L90" i="67"/>
  <c r="N90" i="67" s="1"/>
  <c r="M89" i="67"/>
  <c r="N89" i="67" s="1"/>
  <c r="L89" i="67"/>
  <c r="N88" i="67"/>
  <c r="L88" i="67"/>
  <c r="N87" i="67"/>
  <c r="L87" i="67"/>
  <c r="L86" i="67"/>
  <c r="N86" i="67" s="1"/>
  <c r="N85" i="67"/>
  <c r="L85" i="67"/>
  <c r="L84" i="67"/>
  <c r="N84" i="67" s="1"/>
  <c r="L80" i="67"/>
  <c r="N80" i="67" s="1"/>
  <c r="L79" i="67"/>
  <c r="N79" i="67" s="1"/>
  <c r="L78" i="67"/>
  <c r="N78" i="67" s="1"/>
  <c r="N77" i="67"/>
  <c r="L77" i="67"/>
  <c r="L76" i="67"/>
  <c r="N76" i="67" s="1"/>
  <c r="N75" i="67"/>
  <c r="L75" i="67"/>
  <c r="L74" i="67"/>
  <c r="N74" i="67" s="1"/>
  <c r="N73" i="67"/>
  <c r="L73" i="67"/>
  <c r="L72" i="67"/>
  <c r="N72" i="67" s="1"/>
  <c r="L71" i="67"/>
  <c r="N71" i="67" s="1"/>
  <c r="N70" i="67"/>
  <c r="M70" i="67"/>
  <c r="L70" i="67"/>
  <c r="L69" i="67"/>
  <c r="N69" i="67" s="1"/>
  <c r="N68" i="67"/>
  <c r="L68" i="67"/>
  <c r="N67" i="67"/>
  <c r="L67" i="67"/>
  <c r="L66" i="67"/>
  <c r="N66" i="67" s="1"/>
  <c r="L65" i="67"/>
  <c r="N65" i="67" s="1"/>
  <c r="N64" i="67"/>
  <c r="L64" i="67"/>
  <c r="N63" i="67"/>
  <c r="L63" i="67"/>
  <c r="N62" i="67"/>
  <c r="L62" i="67"/>
  <c r="M61" i="67"/>
  <c r="L61" i="67"/>
  <c r="N61" i="67" s="1"/>
  <c r="N60" i="67"/>
  <c r="L60" i="67"/>
  <c r="L59" i="67"/>
  <c r="N59" i="67" s="1"/>
  <c r="L58" i="67"/>
  <c r="N58" i="67" s="1"/>
  <c r="L57" i="67"/>
  <c r="N57" i="67" s="1"/>
  <c r="N56" i="67"/>
  <c r="L56" i="67"/>
  <c r="N55" i="67"/>
  <c r="L55" i="67"/>
  <c r="L54" i="67"/>
  <c r="N54" i="67" s="1"/>
  <c r="N53" i="67"/>
  <c r="L53" i="67"/>
  <c r="L52" i="67"/>
  <c r="N52" i="67" s="1"/>
  <c r="N51" i="67"/>
  <c r="L51" i="67"/>
  <c r="L50" i="67"/>
  <c r="N50" i="67" s="1"/>
  <c r="M49" i="67"/>
  <c r="N49" i="67" s="1"/>
  <c r="L49" i="67"/>
  <c r="N48" i="67"/>
  <c r="L48" i="67"/>
  <c r="L47" i="67"/>
  <c r="N47" i="67" s="1"/>
  <c r="N46" i="67"/>
  <c r="L46" i="67"/>
  <c r="N42" i="67"/>
  <c r="L42" i="67"/>
  <c r="L41" i="67"/>
  <c r="N41" i="67" s="1"/>
  <c r="L40" i="67"/>
  <c r="N40" i="67" s="1"/>
  <c r="L39" i="67"/>
  <c r="N39" i="67" s="1"/>
  <c r="N38" i="67"/>
  <c r="L38" i="67"/>
  <c r="L37" i="67"/>
  <c r="N37" i="67" s="1"/>
  <c r="L36" i="67"/>
  <c r="N36" i="67" s="1"/>
  <c r="L35" i="67"/>
  <c r="N35" i="67" s="1"/>
  <c r="L34" i="67"/>
  <c r="N34" i="67" s="1"/>
  <c r="N33" i="67"/>
  <c r="L33" i="67"/>
  <c r="L32" i="67"/>
  <c r="N32" i="67" s="1"/>
  <c r="M139" i="67"/>
  <c r="L31" i="67"/>
  <c r="N31" i="67" s="1"/>
  <c r="K26" i="67"/>
  <c r="J26" i="67"/>
  <c r="I26" i="67"/>
  <c r="H26" i="67"/>
  <c r="G26" i="67"/>
  <c r="F26" i="67"/>
  <c r="E26" i="67"/>
  <c r="D26" i="67"/>
  <c r="C26" i="67"/>
  <c r="N25" i="67"/>
  <c r="L25" i="67"/>
  <c r="N24" i="67"/>
  <c r="L24" i="67"/>
  <c r="N22" i="67"/>
  <c r="L22" i="67"/>
  <c r="L21" i="67"/>
  <c r="N21" i="67" s="1"/>
  <c r="N20" i="67"/>
  <c r="M20" i="67"/>
  <c r="L20" i="67"/>
  <c r="L19" i="67"/>
  <c r="N19" i="67" s="1"/>
  <c r="L18" i="67"/>
  <c r="N18" i="67" s="1"/>
  <c r="N15" i="67"/>
  <c r="L15" i="67"/>
  <c r="N13" i="67"/>
  <c r="L13" i="67"/>
  <c r="N12" i="67"/>
  <c r="M12" i="67"/>
  <c r="L12" i="67"/>
  <c r="L11" i="67"/>
  <c r="N10" i="67"/>
  <c r="L10" i="67"/>
  <c r="L26" i="67" s="1"/>
  <c r="O60" i="69" l="1"/>
  <c r="O51" i="69"/>
  <c r="O35" i="69"/>
  <c r="O79" i="69"/>
  <c r="O70" i="69"/>
  <c r="O66" i="69"/>
  <c r="O125" i="69"/>
  <c r="O57" i="69"/>
  <c r="O42" i="69"/>
  <c r="O62" i="69"/>
  <c r="O118" i="69"/>
  <c r="O72" i="69"/>
  <c r="O77" i="69"/>
  <c r="O46" i="69"/>
  <c r="O84" i="69"/>
  <c r="O87" i="69"/>
  <c r="O120" i="69"/>
  <c r="O47" i="69"/>
  <c r="O89" i="69"/>
  <c r="O119" i="69"/>
  <c r="O92" i="69"/>
  <c r="O86" i="69"/>
  <c r="O117" i="69"/>
  <c r="O73" i="69"/>
  <c r="O38" i="69"/>
  <c r="O97" i="69"/>
  <c r="O110" i="69"/>
  <c r="O67" i="69"/>
  <c r="O32" i="69"/>
  <c r="O94" i="69"/>
  <c r="O137" i="69"/>
  <c r="O100" i="69"/>
  <c r="O41" i="69"/>
  <c r="O74" i="69"/>
  <c r="O40" i="69"/>
  <c r="O36" i="69"/>
  <c r="O78" i="69"/>
  <c r="O138" i="69"/>
  <c r="O39" i="69"/>
  <c r="C153" i="69"/>
  <c r="O76" i="69"/>
  <c r="O75" i="69"/>
  <c r="O31" i="69"/>
  <c r="O52" i="69"/>
  <c r="O135" i="69"/>
  <c r="O55" i="69"/>
  <c r="O128" i="69"/>
  <c r="O85" i="69"/>
  <c r="O104" i="69"/>
  <c r="O116" i="69"/>
  <c r="O113" i="69"/>
  <c r="O129" i="69"/>
  <c r="O127" i="69"/>
  <c r="O68" i="69"/>
  <c r="O103" i="69"/>
  <c r="O131" i="69"/>
  <c r="O71" i="69"/>
  <c r="O91" i="69"/>
  <c r="O107" i="69"/>
  <c r="O108" i="69"/>
  <c r="O95" i="69"/>
  <c r="O109" i="69"/>
  <c r="O96" i="69"/>
  <c r="O49" i="69"/>
  <c r="O99" i="69"/>
  <c r="O48" i="69"/>
  <c r="O102" i="69"/>
  <c r="O58" i="69"/>
  <c r="O90" i="69"/>
  <c r="O88" i="69"/>
  <c r="O136" i="69"/>
  <c r="O80" i="69"/>
  <c r="O115" i="69"/>
  <c r="O53" i="69"/>
  <c r="O50" i="69"/>
  <c r="O93" i="69"/>
  <c r="O126" i="69"/>
  <c r="O98" i="69"/>
  <c r="O101" i="69"/>
  <c r="O59" i="69"/>
  <c r="O61" i="69"/>
  <c r="O114" i="69"/>
  <c r="O106" i="69"/>
  <c r="O112" i="69"/>
  <c r="O105" i="69"/>
  <c r="O111" i="69"/>
  <c r="O65" i="69"/>
  <c r="O69" i="69"/>
  <c r="O37" i="69"/>
  <c r="O54" i="69"/>
  <c r="O33" i="69"/>
  <c r="N139" i="69"/>
  <c r="O25" i="69"/>
  <c r="O20" i="69"/>
  <c r="O19" i="69"/>
  <c r="O24" i="69"/>
  <c r="O13" i="69"/>
  <c r="O18" i="69"/>
  <c r="O22" i="69"/>
  <c r="O12" i="69"/>
  <c r="C152" i="69"/>
  <c r="O21" i="69"/>
  <c r="N26" i="69"/>
  <c r="O10" i="69"/>
  <c r="N139" i="68"/>
  <c r="O117" i="68"/>
  <c r="O109" i="68"/>
  <c r="O31" i="68"/>
  <c r="O92" i="68"/>
  <c r="O89" i="68"/>
  <c r="O70" i="68"/>
  <c r="O49" i="68"/>
  <c r="O84" i="68"/>
  <c r="O129" i="68"/>
  <c r="O69" i="68"/>
  <c r="O91" i="68"/>
  <c r="O137" i="68"/>
  <c r="O39" i="68"/>
  <c r="O52" i="68"/>
  <c r="O77" i="68"/>
  <c r="O115" i="68"/>
  <c r="O59" i="68"/>
  <c r="O46" i="68"/>
  <c r="O47" i="68"/>
  <c r="O114" i="68"/>
  <c r="O61" i="68"/>
  <c r="O72" i="68"/>
  <c r="O119" i="68"/>
  <c r="O94" i="68"/>
  <c r="O67" i="68"/>
  <c r="O80" i="68"/>
  <c r="O38" i="68"/>
  <c r="O130" i="68"/>
  <c r="O87" i="68"/>
  <c r="O62" i="68"/>
  <c r="O55" i="68"/>
  <c r="O126" i="68"/>
  <c r="O108" i="68"/>
  <c r="O73" i="68"/>
  <c r="O48" i="68"/>
  <c r="O136" i="68"/>
  <c r="O111" i="68"/>
  <c r="O86" i="68"/>
  <c r="O58" i="68"/>
  <c r="O54" i="68"/>
  <c r="O85" i="68"/>
  <c r="O50" i="68"/>
  <c r="O37" i="68"/>
  <c r="O102" i="68"/>
  <c r="O125" i="68"/>
  <c r="O107" i="68"/>
  <c r="O103" i="68"/>
  <c r="O41" i="68"/>
  <c r="O135" i="68"/>
  <c r="O110" i="68"/>
  <c r="O53" i="68"/>
  <c r="O75" i="68"/>
  <c r="O96" i="68"/>
  <c r="O79" i="68"/>
  <c r="O65" i="68"/>
  <c r="C153" i="68"/>
  <c r="C154" i="68" s="1"/>
  <c r="O99" i="68"/>
  <c r="O57" i="68"/>
  <c r="O128" i="68"/>
  <c r="O120" i="68"/>
  <c r="O106" i="68"/>
  <c r="O68" i="68"/>
  <c r="O60" i="68"/>
  <c r="O33" i="68"/>
  <c r="O138" i="68"/>
  <c r="O113" i="68"/>
  <c r="O95" i="68"/>
  <c r="O78" i="68"/>
  <c r="O71" i="68"/>
  <c r="O90" i="68"/>
  <c r="O42" i="68"/>
  <c r="O35" i="68"/>
  <c r="O100" i="68"/>
  <c r="O66" i="68"/>
  <c r="O51" i="68"/>
  <c r="O40" i="68"/>
  <c r="O131" i="68"/>
  <c r="O116" i="68"/>
  <c r="O88" i="68"/>
  <c r="O118" i="68"/>
  <c r="O127" i="68"/>
  <c r="O105" i="68"/>
  <c r="O101" i="68"/>
  <c r="O98" i="68"/>
  <c r="O74" i="68"/>
  <c r="O36" i="68"/>
  <c r="O104" i="68"/>
  <c r="O97" i="68"/>
  <c r="O93" i="68"/>
  <c r="O112" i="68"/>
  <c r="O76" i="68"/>
  <c r="O77" i="67"/>
  <c r="O37" i="67"/>
  <c r="O59" i="67"/>
  <c r="O72" i="67"/>
  <c r="O130" i="67"/>
  <c r="O108" i="67"/>
  <c r="O104" i="67"/>
  <c r="O93" i="67"/>
  <c r="O66" i="67"/>
  <c r="O58" i="67"/>
  <c r="O54" i="67"/>
  <c r="O41" i="67"/>
  <c r="O111" i="67"/>
  <c r="O107" i="67"/>
  <c r="O117" i="67"/>
  <c r="O75" i="67"/>
  <c r="O126" i="67"/>
  <c r="O86" i="67"/>
  <c r="O118" i="67"/>
  <c r="O96" i="67"/>
  <c r="O57" i="67"/>
  <c r="C153" i="67"/>
  <c r="O135" i="67"/>
  <c r="O106" i="67"/>
  <c r="O102" i="67"/>
  <c r="O95" i="67"/>
  <c r="O78" i="67"/>
  <c r="O71" i="67"/>
  <c r="O49" i="67"/>
  <c r="O39" i="67"/>
  <c r="O36" i="67"/>
  <c r="O128" i="67"/>
  <c r="O113" i="67"/>
  <c r="O91" i="67"/>
  <c r="O88" i="67"/>
  <c r="O52" i="67"/>
  <c r="O138" i="67"/>
  <c r="O116" i="67"/>
  <c r="O98" i="67"/>
  <c r="O74" i="67"/>
  <c r="O125" i="67"/>
  <c r="O68" i="67"/>
  <c r="O38" i="67"/>
  <c r="O103" i="67"/>
  <c r="O79" i="67"/>
  <c r="O65" i="67"/>
  <c r="O40" i="67"/>
  <c r="O60" i="67"/>
  <c r="O131" i="67"/>
  <c r="O105" i="67"/>
  <c r="O101" i="67"/>
  <c r="O94" i="67"/>
  <c r="O67" i="67"/>
  <c r="O55" i="67"/>
  <c r="O42" i="67"/>
  <c r="O35" i="67"/>
  <c r="O127" i="67"/>
  <c r="O112" i="67"/>
  <c r="O87" i="67"/>
  <c r="O62" i="67"/>
  <c r="O48" i="67"/>
  <c r="O110" i="67"/>
  <c r="O46" i="67"/>
  <c r="O137" i="67"/>
  <c r="O119" i="67"/>
  <c r="O115" i="67"/>
  <c r="O97" i="67"/>
  <c r="O90" i="67"/>
  <c r="O80" i="67"/>
  <c r="O73" i="67"/>
  <c r="O51" i="67"/>
  <c r="O31" i="67"/>
  <c r="O136" i="67"/>
  <c r="O99" i="67"/>
  <c r="O85" i="67"/>
  <c r="O129" i="67"/>
  <c r="O32" i="67"/>
  <c r="O61" i="67"/>
  <c r="O120" i="67"/>
  <c r="O92" i="67"/>
  <c r="O47" i="67"/>
  <c r="O84" i="67"/>
  <c r="N26" i="67"/>
  <c r="O69" i="67"/>
  <c r="O114" i="67"/>
  <c r="O50" i="67"/>
  <c r="O76" i="67"/>
  <c r="O70" i="67"/>
  <c r="O100" i="67"/>
  <c r="O109" i="67"/>
  <c r="O10" i="67"/>
  <c r="N114" i="67"/>
  <c r="N129" i="67"/>
  <c r="O89" i="67"/>
  <c r="N92" i="67"/>
  <c r="N139" i="67" s="1"/>
  <c r="L139" i="67"/>
  <c r="O53" i="67"/>
  <c r="O33" i="67"/>
  <c r="M31" i="66"/>
  <c r="M31" i="65"/>
  <c r="C154" i="69" l="1"/>
  <c r="C172" i="68"/>
  <c r="C176" i="68" s="1"/>
  <c r="C170" i="68"/>
  <c r="O15" i="67"/>
  <c r="O21" i="67"/>
  <c r="O25" i="67"/>
  <c r="C152" i="67"/>
  <c r="C154" i="67" s="1"/>
  <c r="O24" i="67"/>
  <c r="O13" i="67"/>
  <c r="O12" i="67"/>
  <c r="O19" i="67"/>
  <c r="O22" i="67"/>
  <c r="O18" i="67"/>
  <c r="O20" i="67"/>
  <c r="M12" i="66"/>
  <c r="M33" i="65"/>
  <c r="C160" i="66"/>
  <c r="C162" i="66"/>
  <c r="M137" i="66"/>
  <c r="M120" i="66"/>
  <c r="M115" i="66"/>
  <c r="M112" i="66"/>
  <c r="M100" i="66"/>
  <c r="M97" i="66"/>
  <c r="M91" i="66"/>
  <c r="M90" i="66"/>
  <c r="M89" i="66"/>
  <c r="M84" i="66"/>
  <c r="M80" i="66"/>
  <c r="M76" i="66"/>
  <c r="M72" i="66"/>
  <c r="M70" i="66"/>
  <c r="M69" i="66"/>
  <c r="M68" i="66"/>
  <c r="M56" i="66"/>
  <c r="M53" i="66"/>
  <c r="M52" i="66"/>
  <c r="M50" i="66"/>
  <c r="M47" i="66"/>
  <c r="M46" i="66"/>
  <c r="M39" i="66"/>
  <c r="M38" i="66"/>
  <c r="M37" i="66"/>
  <c r="M34" i="66"/>
  <c r="M33" i="66"/>
  <c r="M32" i="66"/>
  <c r="M20" i="66"/>
  <c r="M18" i="66"/>
  <c r="K139" i="66"/>
  <c r="J139" i="66"/>
  <c r="I139" i="66"/>
  <c r="H139" i="66"/>
  <c r="G139" i="66"/>
  <c r="F139" i="66"/>
  <c r="E139" i="66"/>
  <c r="D139" i="66"/>
  <c r="C139" i="66"/>
  <c r="L138" i="66"/>
  <c r="N138" i="66" s="1"/>
  <c r="L137" i="66"/>
  <c r="L136" i="66"/>
  <c r="N136" i="66" s="1"/>
  <c r="L135" i="66"/>
  <c r="N135" i="66" s="1"/>
  <c r="L131" i="66"/>
  <c r="N131" i="66" s="1"/>
  <c r="L130" i="66"/>
  <c r="N130" i="66" s="1"/>
  <c r="M129" i="66"/>
  <c r="L129" i="66"/>
  <c r="L128" i="66"/>
  <c r="N128" i="66" s="1"/>
  <c r="L127" i="66"/>
  <c r="N127" i="66" s="1"/>
  <c r="L126" i="66"/>
  <c r="N126" i="66" s="1"/>
  <c r="L125" i="66"/>
  <c r="N125" i="66" s="1"/>
  <c r="L120" i="66"/>
  <c r="N120" i="66" s="1"/>
  <c r="L119" i="66"/>
  <c r="N119" i="66" s="1"/>
  <c r="L118" i="66"/>
  <c r="N118" i="66" s="1"/>
  <c r="L117" i="66"/>
  <c r="N117" i="66" s="1"/>
  <c r="L116" i="66"/>
  <c r="N116" i="66" s="1"/>
  <c r="L115" i="66"/>
  <c r="M114" i="66"/>
  <c r="L114" i="66"/>
  <c r="L113" i="66"/>
  <c r="N113" i="66" s="1"/>
  <c r="L112" i="66"/>
  <c r="N112" i="66" s="1"/>
  <c r="L111" i="66"/>
  <c r="N111" i="66" s="1"/>
  <c r="N110" i="66"/>
  <c r="L110" i="66"/>
  <c r="M109" i="66"/>
  <c r="L109" i="66"/>
  <c r="N109" i="66" s="1"/>
  <c r="L108" i="66"/>
  <c r="N108" i="66" s="1"/>
  <c r="L107" i="66"/>
  <c r="N107" i="66" s="1"/>
  <c r="L106" i="66"/>
  <c r="N106" i="66" s="1"/>
  <c r="L105" i="66"/>
  <c r="N105" i="66" s="1"/>
  <c r="L104" i="66"/>
  <c r="N104" i="66" s="1"/>
  <c r="L103" i="66"/>
  <c r="N103" i="66" s="1"/>
  <c r="L102" i="66"/>
  <c r="N102" i="66" s="1"/>
  <c r="L101" i="66"/>
  <c r="N101" i="66" s="1"/>
  <c r="L100" i="66"/>
  <c r="M99" i="66"/>
  <c r="L99" i="66"/>
  <c r="L98" i="66"/>
  <c r="N98" i="66" s="1"/>
  <c r="L97" i="66"/>
  <c r="L96" i="66"/>
  <c r="N96" i="66" s="1"/>
  <c r="L95" i="66"/>
  <c r="N95" i="66" s="1"/>
  <c r="L94" i="66"/>
  <c r="N94" i="66" s="1"/>
  <c r="L93" i="66"/>
  <c r="N93" i="66" s="1"/>
  <c r="M92" i="66"/>
  <c r="L92" i="66"/>
  <c r="N92" i="66" s="1"/>
  <c r="L91" i="66"/>
  <c r="L90" i="66"/>
  <c r="L89" i="66"/>
  <c r="L88" i="66"/>
  <c r="N88" i="66" s="1"/>
  <c r="L87" i="66"/>
  <c r="N87" i="66" s="1"/>
  <c r="L86" i="66"/>
  <c r="N86" i="66" s="1"/>
  <c r="L85" i="66"/>
  <c r="N85" i="66" s="1"/>
  <c r="L84" i="66"/>
  <c r="L80" i="66"/>
  <c r="N80" i="66" s="1"/>
  <c r="L79" i="66"/>
  <c r="N79" i="66" s="1"/>
  <c r="N78" i="66"/>
  <c r="L78" i="66"/>
  <c r="M77" i="66"/>
  <c r="L77" i="66"/>
  <c r="N77" i="66" s="1"/>
  <c r="L76" i="66"/>
  <c r="N76" i="66" s="1"/>
  <c r="L75" i="66"/>
  <c r="N75" i="66" s="1"/>
  <c r="L74" i="66"/>
  <c r="N74" i="66" s="1"/>
  <c r="L73" i="66"/>
  <c r="N73" i="66" s="1"/>
  <c r="L72" i="66"/>
  <c r="L71" i="66"/>
  <c r="N71" i="66" s="1"/>
  <c r="N70" i="66"/>
  <c r="L70" i="66"/>
  <c r="L69" i="66"/>
  <c r="L68" i="66"/>
  <c r="N68" i="66" s="1"/>
  <c r="L67" i="66"/>
  <c r="N67" i="66" s="1"/>
  <c r="L66" i="66"/>
  <c r="N66" i="66" s="1"/>
  <c r="L65" i="66"/>
  <c r="N65" i="66" s="1"/>
  <c r="L64" i="66"/>
  <c r="N64" i="66" s="1"/>
  <c r="L63" i="66"/>
  <c r="N63" i="66" s="1"/>
  <c r="L62" i="66"/>
  <c r="N62" i="66" s="1"/>
  <c r="M61" i="66"/>
  <c r="L61" i="66"/>
  <c r="L60" i="66"/>
  <c r="N60" i="66" s="1"/>
  <c r="M59" i="66"/>
  <c r="L59" i="66"/>
  <c r="N59" i="66" s="1"/>
  <c r="L58" i="66"/>
  <c r="N58" i="66" s="1"/>
  <c r="L57" i="66"/>
  <c r="N57" i="66" s="1"/>
  <c r="L56" i="66"/>
  <c r="N56" i="66" s="1"/>
  <c r="L55" i="66"/>
  <c r="N55" i="66" s="1"/>
  <c r="L54" i="66"/>
  <c r="N54" i="66" s="1"/>
  <c r="L53" i="66"/>
  <c r="N53" i="66" s="1"/>
  <c r="L52" i="66"/>
  <c r="N52" i="66" s="1"/>
  <c r="L51" i="66"/>
  <c r="N51" i="66" s="1"/>
  <c r="L50" i="66"/>
  <c r="M49" i="66"/>
  <c r="L49" i="66"/>
  <c r="N49" i="66" s="1"/>
  <c r="L48" i="66"/>
  <c r="N48" i="66" s="1"/>
  <c r="L47" i="66"/>
  <c r="L46" i="66"/>
  <c r="N46" i="66" s="1"/>
  <c r="L42" i="66"/>
  <c r="N42" i="66" s="1"/>
  <c r="L41" i="66"/>
  <c r="N41" i="66" s="1"/>
  <c r="L40" i="66"/>
  <c r="N40" i="66" s="1"/>
  <c r="L39" i="66"/>
  <c r="N39" i="66" s="1"/>
  <c r="L38" i="66"/>
  <c r="N38" i="66" s="1"/>
  <c r="L37" i="66"/>
  <c r="N37" i="66" s="1"/>
  <c r="L36" i="66"/>
  <c r="N36" i="66" s="1"/>
  <c r="L35" i="66"/>
  <c r="N35" i="66" s="1"/>
  <c r="L34" i="66"/>
  <c r="N34" i="66" s="1"/>
  <c r="L33" i="66"/>
  <c r="N33" i="66" s="1"/>
  <c r="L32" i="66"/>
  <c r="N32" i="66" s="1"/>
  <c r="L31" i="66"/>
  <c r="K26" i="66"/>
  <c r="J26" i="66"/>
  <c r="I26" i="66"/>
  <c r="H26" i="66"/>
  <c r="G26" i="66"/>
  <c r="F26" i="66"/>
  <c r="E26" i="66"/>
  <c r="D26" i="66"/>
  <c r="C26" i="66"/>
  <c r="L25" i="66"/>
  <c r="N25" i="66" s="1"/>
  <c r="L24" i="66"/>
  <c r="N24" i="66" s="1"/>
  <c r="L22" i="66"/>
  <c r="N22" i="66" s="1"/>
  <c r="L21" i="66"/>
  <c r="N21" i="66" s="1"/>
  <c r="L20" i="66"/>
  <c r="N20" i="66" s="1"/>
  <c r="L19" i="66"/>
  <c r="N19" i="66" s="1"/>
  <c r="L18" i="66"/>
  <c r="N18" i="66" s="1"/>
  <c r="M15" i="66"/>
  <c r="L15" i="66"/>
  <c r="L13" i="66"/>
  <c r="N13" i="66" s="1"/>
  <c r="L12" i="66"/>
  <c r="L11" i="66"/>
  <c r="L10" i="66"/>
  <c r="C159" i="65"/>
  <c r="C166" i="65" s="1"/>
  <c r="C170" i="69" l="1"/>
  <c r="C172" i="69"/>
  <c r="C172" i="67"/>
  <c r="C170" i="67"/>
  <c r="N47" i="66"/>
  <c r="N10" i="66"/>
  <c r="N89" i="66"/>
  <c r="L139" i="66"/>
  <c r="N69" i="66"/>
  <c r="N84" i="66"/>
  <c r="N97" i="66"/>
  <c r="N115" i="66"/>
  <c r="N15" i="66"/>
  <c r="N50" i="66"/>
  <c r="N61" i="66"/>
  <c r="N100" i="66"/>
  <c r="C167" i="66"/>
  <c r="N137" i="66"/>
  <c r="N90" i="66"/>
  <c r="N72" i="66"/>
  <c r="L26" i="66"/>
  <c r="M26" i="66"/>
  <c r="M29" i="66" s="1"/>
  <c r="M139" i="66"/>
  <c r="N31" i="66"/>
  <c r="N91" i="66"/>
  <c r="N12" i="66"/>
  <c r="N26" i="66" s="1"/>
  <c r="N99" i="66"/>
  <c r="N114" i="66"/>
  <c r="N129" i="66"/>
  <c r="M137" i="65"/>
  <c r="M120" i="65"/>
  <c r="M115" i="65"/>
  <c r="M114" i="65"/>
  <c r="M109" i="65"/>
  <c r="M100" i="65"/>
  <c r="M97" i="65"/>
  <c r="N97" i="65" s="1"/>
  <c r="M91" i="65"/>
  <c r="M90" i="65"/>
  <c r="M84" i="65"/>
  <c r="M76" i="65"/>
  <c r="M72" i="65"/>
  <c r="M69" i="65"/>
  <c r="M68" i="65"/>
  <c r="M53" i="65"/>
  <c r="M50" i="65"/>
  <c r="M47" i="65"/>
  <c r="M46" i="65"/>
  <c r="M39" i="65"/>
  <c r="M38" i="65"/>
  <c r="M37" i="65"/>
  <c r="M34" i="65"/>
  <c r="M32" i="65"/>
  <c r="M18" i="65"/>
  <c r="M15" i="65"/>
  <c r="M12" i="65"/>
  <c r="K139" i="65"/>
  <c r="J139" i="65"/>
  <c r="I139" i="65"/>
  <c r="H139" i="65"/>
  <c r="G139" i="65"/>
  <c r="F139" i="65"/>
  <c r="E139" i="65"/>
  <c r="D139" i="65"/>
  <c r="C139" i="65"/>
  <c r="L138" i="65"/>
  <c r="N138" i="65" s="1"/>
  <c r="L137" i="65"/>
  <c r="L136" i="65"/>
  <c r="N136" i="65" s="1"/>
  <c r="L135" i="65"/>
  <c r="N135" i="65" s="1"/>
  <c r="L131" i="65"/>
  <c r="N131" i="65" s="1"/>
  <c r="L130" i="65"/>
  <c r="N130" i="65" s="1"/>
  <c r="M129" i="65"/>
  <c r="L129" i="65"/>
  <c r="L128" i="65"/>
  <c r="N128" i="65" s="1"/>
  <c r="L127" i="65"/>
  <c r="N127" i="65" s="1"/>
  <c r="L126" i="65"/>
  <c r="N126" i="65" s="1"/>
  <c r="L125" i="65"/>
  <c r="N125" i="65" s="1"/>
  <c r="L120" i="65"/>
  <c r="L119" i="65"/>
  <c r="N119" i="65" s="1"/>
  <c r="L118" i="65"/>
  <c r="N118" i="65" s="1"/>
  <c r="L117" i="65"/>
  <c r="N117" i="65" s="1"/>
  <c r="L116" i="65"/>
  <c r="N116" i="65" s="1"/>
  <c r="L115" i="65"/>
  <c r="L114" i="65"/>
  <c r="L113" i="65"/>
  <c r="N113" i="65" s="1"/>
  <c r="L112" i="65"/>
  <c r="N112" i="65" s="1"/>
  <c r="L111" i="65"/>
  <c r="N111" i="65" s="1"/>
  <c r="L110" i="65"/>
  <c r="N110" i="65" s="1"/>
  <c r="L109" i="65"/>
  <c r="L108" i="65"/>
  <c r="N108" i="65" s="1"/>
  <c r="L107" i="65"/>
  <c r="N107" i="65" s="1"/>
  <c r="L106" i="65"/>
  <c r="N106" i="65" s="1"/>
  <c r="L105" i="65"/>
  <c r="N105" i="65" s="1"/>
  <c r="L104" i="65"/>
  <c r="N104" i="65" s="1"/>
  <c r="L103" i="65"/>
  <c r="N103" i="65" s="1"/>
  <c r="L102" i="65"/>
  <c r="N102" i="65" s="1"/>
  <c r="L101" i="65"/>
  <c r="N101" i="65" s="1"/>
  <c r="L100" i="65"/>
  <c r="M99" i="65"/>
  <c r="L99" i="65"/>
  <c r="L98" i="65"/>
  <c r="N98" i="65" s="1"/>
  <c r="L97" i="65"/>
  <c r="L96" i="65"/>
  <c r="N96" i="65" s="1"/>
  <c r="L95" i="65"/>
  <c r="N95" i="65" s="1"/>
  <c r="L94" i="65"/>
  <c r="N94" i="65" s="1"/>
  <c r="L93" i="65"/>
  <c r="N93" i="65" s="1"/>
  <c r="M92" i="65"/>
  <c r="L92" i="65"/>
  <c r="L91" i="65"/>
  <c r="L90" i="65"/>
  <c r="L89" i="65"/>
  <c r="N89" i="65" s="1"/>
  <c r="L88" i="65"/>
  <c r="N88" i="65" s="1"/>
  <c r="L87" i="65"/>
  <c r="N87" i="65" s="1"/>
  <c r="L86" i="65"/>
  <c r="N86" i="65" s="1"/>
  <c r="L85" i="65"/>
  <c r="N85" i="65" s="1"/>
  <c r="L84" i="65"/>
  <c r="M80" i="65"/>
  <c r="L80" i="65"/>
  <c r="N80" i="65" s="1"/>
  <c r="L79" i="65"/>
  <c r="N79" i="65" s="1"/>
  <c r="L78" i="65"/>
  <c r="N78" i="65" s="1"/>
  <c r="M77" i="65"/>
  <c r="L77" i="65"/>
  <c r="L76" i="65"/>
  <c r="L75" i="65"/>
  <c r="N75" i="65" s="1"/>
  <c r="L74" i="65"/>
  <c r="N74" i="65" s="1"/>
  <c r="L73" i="65"/>
  <c r="N73" i="65" s="1"/>
  <c r="L72" i="65"/>
  <c r="N72" i="65" s="1"/>
  <c r="L71" i="65"/>
  <c r="N71" i="65" s="1"/>
  <c r="L70" i="65"/>
  <c r="N70" i="65" s="1"/>
  <c r="L69" i="65"/>
  <c r="N69" i="65" s="1"/>
  <c r="L68" i="65"/>
  <c r="L67" i="65"/>
  <c r="N67" i="65" s="1"/>
  <c r="L66" i="65"/>
  <c r="N66" i="65" s="1"/>
  <c r="L65" i="65"/>
  <c r="N65" i="65" s="1"/>
  <c r="L64" i="65"/>
  <c r="N64" i="65" s="1"/>
  <c r="L63" i="65"/>
  <c r="N63" i="65" s="1"/>
  <c r="L62" i="65"/>
  <c r="N62" i="65" s="1"/>
  <c r="M61" i="65"/>
  <c r="L61" i="65"/>
  <c r="N61" i="65" s="1"/>
  <c r="L60" i="65"/>
  <c r="N60" i="65" s="1"/>
  <c r="M59" i="65"/>
  <c r="L59" i="65"/>
  <c r="L58" i="65"/>
  <c r="N58" i="65" s="1"/>
  <c r="L57" i="65"/>
  <c r="N57" i="65" s="1"/>
  <c r="L56" i="65"/>
  <c r="N56" i="65" s="1"/>
  <c r="L55" i="65"/>
  <c r="N55" i="65" s="1"/>
  <c r="L54" i="65"/>
  <c r="L53" i="65"/>
  <c r="L52" i="65"/>
  <c r="N52" i="65" s="1"/>
  <c r="L51" i="65"/>
  <c r="N51" i="65" s="1"/>
  <c r="L50" i="65"/>
  <c r="M49" i="65"/>
  <c r="L49" i="65"/>
  <c r="N49" i="65" s="1"/>
  <c r="L48" i="65"/>
  <c r="N48" i="65" s="1"/>
  <c r="L47" i="65"/>
  <c r="L46" i="65"/>
  <c r="N46" i="65" s="1"/>
  <c r="L42" i="65"/>
  <c r="N42" i="65" s="1"/>
  <c r="L41" i="65"/>
  <c r="N41" i="65" s="1"/>
  <c r="L40" i="65"/>
  <c r="N40" i="65" s="1"/>
  <c r="L39" i="65"/>
  <c r="L38" i="65"/>
  <c r="L37" i="65"/>
  <c r="L36" i="65"/>
  <c r="N36" i="65" s="1"/>
  <c r="L35" i="65"/>
  <c r="N35" i="65" s="1"/>
  <c r="L34" i="65"/>
  <c r="L33" i="65"/>
  <c r="L32" i="65"/>
  <c r="L31" i="65"/>
  <c r="N31" i="65" s="1"/>
  <c r="K26" i="65"/>
  <c r="J26" i="65"/>
  <c r="I26" i="65"/>
  <c r="H26" i="65"/>
  <c r="G26" i="65"/>
  <c r="F26" i="65"/>
  <c r="E26" i="65"/>
  <c r="D26" i="65"/>
  <c r="C26" i="65"/>
  <c r="L25" i="65"/>
  <c r="N25" i="65" s="1"/>
  <c r="L24" i="65"/>
  <c r="N24" i="65" s="1"/>
  <c r="L22" i="65"/>
  <c r="N22" i="65" s="1"/>
  <c r="L21" i="65"/>
  <c r="N21" i="65" s="1"/>
  <c r="L20" i="65"/>
  <c r="N20" i="65" s="1"/>
  <c r="L19" i="65"/>
  <c r="N19" i="65" s="1"/>
  <c r="L18" i="65"/>
  <c r="L15" i="65"/>
  <c r="L13" i="65"/>
  <c r="N13" i="65" s="1"/>
  <c r="L12" i="65"/>
  <c r="N12" i="65" s="1"/>
  <c r="L11" i="65"/>
  <c r="L10" i="65"/>
  <c r="L51" i="64"/>
  <c r="L34" i="64"/>
  <c r="C159" i="64"/>
  <c r="N139" i="66" l="1"/>
  <c r="O136" i="66"/>
  <c r="O75" i="66"/>
  <c r="O52" i="66"/>
  <c r="O125" i="66"/>
  <c r="O110" i="66"/>
  <c r="O78" i="66"/>
  <c r="O71" i="66"/>
  <c r="O42" i="66"/>
  <c r="O35" i="66"/>
  <c r="O117" i="66"/>
  <c r="O106" i="66"/>
  <c r="O102" i="66"/>
  <c r="O95" i="66"/>
  <c r="O88" i="66"/>
  <c r="O84" i="66"/>
  <c r="O59" i="66"/>
  <c r="O55" i="66"/>
  <c r="O48" i="66"/>
  <c r="O38" i="66"/>
  <c r="O126" i="66"/>
  <c r="O111" i="66"/>
  <c r="O49" i="66"/>
  <c r="O39" i="66"/>
  <c r="O103" i="66"/>
  <c r="O89" i="66"/>
  <c r="C153" i="66"/>
  <c r="O135" i="66"/>
  <c r="O74" i="66"/>
  <c r="O67" i="66"/>
  <c r="O51" i="66"/>
  <c r="O128" i="66"/>
  <c r="O120" i="66"/>
  <c r="O113" i="66"/>
  <c r="O109" i="66"/>
  <c r="O98" i="66"/>
  <c r="O77" i="66"/>
  <c r="O70" i="66"/>
  <c r="O62" i="66"/>
  <c r="O41" i="66"/>
  <c r="O138" i="66"/>
  <c r="O116" i="66"/>
  <c r="O105" i="66"/>
  <c r="O101" i="66"/>
  <c r="O94" i="66"/>
  <c r="O87" i="66"/>
  <c r="O54" i="66"/>
  <c r="O47" i="66"/>
  <c r="O107" i="66"/>
  <c r="O92" i="66"/>
  <c r="O85" i="66"/>
  <c r="O68" i="66"/>
  <c r="O60" i="66"/>
  <c r="O131" i="66"/>
  <c r="O73" i="66"/>
  <c r="O66" i="66"/>
  <c r="O58" i="66"/>
  <c r="O127" i="66"/>
  <c r="O112" i="66"/>
  <c r="O40" i="66"/>
  <c r="O119" i="66"/>
  <c r="O108" i="66"/>
  <c r="O104" i="66"/>
  <c r="O93" i="66"/>
  <c r="O86" i="66"/>
  <c r="O130" i="66"/>
  <c r="O65" i="66"/>
  <c r="O57" i="66"/>
  <c r="O79" i="66"/>
  <c r="O118" i="66"/>
  <c r="O32" i="66"/>
  <c r="O36" i="66"/>
  <c r="O96" i="66"/>
  <c r="O33" i="66"/>
  <c r="O72" i="66"/>
  <c r="O137" i="66"/>
  <c r="O114" i="66"/>
  <c r="O22" i="66"/>
  <c r="O18" i="66"/>
  <c r="O15" i="66"/>
  <c r="O21" i="66"/>
  <c r="O10" i="66"/>
  <c r="O24" i="66"/>
  <c r="C152" i="66"/>
  <c r="O25" i="66"/>
  <c r="O20" i="66"/>
  <c r="O13" i="66"/>
  <c r="O19" i="66"/>
  <c r="O90" i="66"/>
  <c r="O53" i="66"/>
  <c r="O46" i="66"/>
  <c r="O37" i="66"/>
  <c r="O31" i="66"/>
  <c r="O97" i="66"/>
  <c r="O76" i="66"/>
  <c r="O69" i="66"/>
  <c r="O12" i="66"/>
  <c r="O61" i="66"/>
  <c r="O50" i="66"/>
  <c r="O129" i="66"/>
  <c r="O100" i="66"/>
  <c r="O80" i="66"/>
  <c r="O115" i="66"/>
  <c r="O99" i="66"/>
  <c r="O91" i="66"/>
  <c r="N114" i="65"/>
  <c r="N33" i="65"/>
  <c r="N92" i="65"/>
  <c r="N15" i="65"/>
  <c r="N53" i="65"/>
  <c r="N18" i="65"/>
  <c r="N129" i="65"/>
  <c r="N37" i="65"/>
  <c r="N99" i="65"/>
  <c r="N77" i="65"/>
  <c r="M26" i="65"/>
  <c r="N120" i="65"/>
  <c r="N137" i="65"/>
  <c r="N50" i="65"/>
  <c r="N109" i="65"/>
  <c r="N100" i="65"/>
  <c r="N91" i="65"/>
  <c r="L139" i="65"/>
  <c r="N84" i="65"/>
  <c r="N34" i="65"/>
  <c r="N10" i="65"/>
  <c r="N38" i="65"/>
  <c r="N59" i="65"/>
  <c r="N90" i="65"/>
  <c r="N76" i="65"/>
  <c r="N115" i="65"/>
  <c r="N39" i="65"/>
  <c r="N32" i="65"/>
  <c r="N54" i="65"/>
  <c r="L26" i="65"/>
  <c r="N47" i="65"/>
  <c r="N68" i="65"/>
  <c r="M139" i="65"/>
  <c r="O59" i="65" s="1"/>
  <c r="M115" i="64"/>
  <c r="M31" i="64"/>
  <c r="M137" i="64"/>
  <c r="M129" i="64"/>
  <c r="M120" i="64"/>
  <c r="M114" i="64"/>
  <c r="M109" i="64"/>
  <c r="M100" i="64"/>
  <c r="M99" i="64"/>
  <c r="M97" i="64"/>
  <c r="M91" i="64"/>
  <c r="M84" i="64"/>
  <c r="M76" i="64"/>
  <c r="M72" i="64"/>
  <c r="M69" i="64"/>
  <c r="M68" i="64"/>
  <c r="M61" i="64"/>
  <c r="M59" i="64"/>
  <c r="M53" i="64"/>
  <c r="M50" i="64"/>
  <c r="M47" i="64"/>
  <c r="M46" i="64"/>
  <c r="M39" i="64"/>
  <c r="M38" i="64"/>
  <c r="M37" i="64"/>
  <c r="N34" i="64"/>
  <c r="M33" i="64"/>
  <c r="M32" i="64"/>
  <c r="O22" i="65" l="1"/>
  <c r="C154" i="66"/>
  <c r="C172" i="66" s="1"/>
  <c r="O21" i="65"/>
  <c r="O20" i="65"/>
  <c r="O15" i="65"/>
  <c r="C151" i="65"/>
  <c r="N26" i="65"/>
  <c r="O13" i="65"/>
  <c r="O25" i="65"/>
  <c r="O10" i="65"/>
  <c r="O12" i="65"/>
  <c r="O19" i="65"/>
  <c r="O18" i="65"/>
  <c r="O24" i="65"/>
  <c r="N139" i="65"/>
  <c r="O120" i="65"/>
  <c r="O77" i="65"/>
  <c r="O47" i="65"/>
  <c r="O31" i="65"/>
  <c r="O68" i="65"/>
  <c r="O72" i="65"/>
  <c r="O46" i="65"/>
  <c r="O126" i="65"/>
  <c r="O111" i="65"/>
  <c r="O79" i="65"/>
  <c r="O49" i="65"/>
  <c r="O39" i="65"/>
  <c r="O36" i="65"/>
  <c r="O32" i="65"/>
  <c r="O103" i="65"/>
  <c r="O89" i="65"/>
  <c r="O41" i="65"/>
  <c r="O116" i="65"/>
  <c r="O105" i="65"/>
  <c r="O87" i="65"/>
  <c r="O118" i="65"/>
  <c r="O107" i="65"/>
  <c r="O96" i="65"/>
  <c r="O60" i="65"/>
  <c r="O80" i="65"/>
  <c r="O66" i="65"/>
  <c r="O127" i="65"/>
  <c r="O69" i="65"/>
  <c r="O136" i="65"/>
  <c r="O99" i="65"/>
  <c r="O75" i="65"/>
  <c r="O52" i="65"/>
  <c r="O125" i="65"/>
  <c r="O71" i="65"/>
  <c r="O42" i="65"/>
  <c r="O35" i="65"/>
  <c r="O138" i="65"/>
  <c r="O101" i="65"/>
  <c r="O40" i="65"/>
  <c r="O110" i="65"/>
  <c r="O78" i="65"/>
  <c r="O94" i="65"/>
  <c r="O54" i="65"/>
  <c r="O117" i="65"/>
  <c r="O106" i="65"/>
  <c r="O102" i="65"/>
  <c r="O95" i="65"/>
  <c r="O88" i="65"/>
  <c r="O55" i="65"/>
  <c r="O48" i="65"/>
  <c r="O67" i="65"/>
  <c r="O51" i="65"/>
  <c r="O128" i="65"/>
  <c r="O113" i="65"/>
  <c r="O98" i="65"/>
  <c r="O131" i="65"/>
  <c r="O58" i="65"/>
  <c r="C152" i="65"/>
  <c r="O135" i="65"/>
  <c r="O74" i="65"/>
  <c r="O70" i="65"/>
  <c r="O62" i="65"/>
  <c r="O50" i="65"/>
  <c r="O97" i="65"/>
  <c r="O90" i="65"/>
  <c r="O137" i="65"/>
  <c r="O119" i="65"/>
  <c r="O115" i="65"/>
  <c r="O108" i="65"/>
  <c r="O104" i="65"/>
  <c r="O100" i="65"/>
  <c r="O93" i="65"/>
  <c r="O86" i="65"/>
  <c r="O76" i="65"/>
  <c r="O53" i="65"/>
  <c r="O37" i="65"/>
  <c r="O61" i="65"/>
  <c r="O130" i="65"/>
  <c r="O65" i="65"/>
  <c r="O57" i="65"/>
  <c r="O85" i="65"/>
  <c r="O73" i="65"/>
  <c r="O33" i="65"/>
  <c r="O112" i="65"/>
  <c r="O91" i="65"/>
  <c r="O84" i="65"/>
  <c r="O129" i="65"/>
  <c r="O114" i="65"/>
  <c r="O92" i="65"/>
  <c r="O38" i="65"/>
  <c r="O109" i="65"/>
  <c r="M18" i="64"/>
  <c r="M15" i="64"/>
  <c r="M10" i="64"/>
  <c r="C170" i="66" l="1"/>
  <c r="C153" i="65"/>
  <c r="C169" i="65" s="1"/>
  <c r="C166" i="64"/>
  <c r="K139" i="64"/>
  <c r="J139" i="64"/>
  <c r="I139" i="64"/>
  <c r="H139" i="64"/>
  <c r="G139" i="64"/>
  <c r="F139" i="64"/>
  <c r="E139" i="64"/>
  <c r="D139" i="64"/>
  <c r="C139" i="64"/>
  <c r="L138" i="64"/>
  <c r="N138" i="64" s="1"/>
  <c r="L137" i="64"/>
  <c r="N137" i="64" s="1"/>
  <c r="L136" i="64"/>
  <c r="N136" i="64" s="1"/>
  <c r="L135" i="64"/>
  <c r="N135" i="64" s="1"/>
  <c r="L131" i="64"/>
  <c r="N131" i="64" s="1"/>
  <c r="N130" i="64"/>
  <c r="L130" i="64"/>
  <c r="L129" i="64"/>
  <c r="N129" i="64" s="1"/>
  <c r="L128" i="64"/>
  <c r="N128" i="64" s="1"/>
  <c r="L127" i="64"/>
  <c r="N127" i="64" s="1"/>
  <c r="N126" i="64"/>
  <c r="L126" i="64"/>
  <c r="L125" i="64"/>
  <c r="N125" i="64" s="1"/>
  <c r="L120" i="64"/>
  <c r="N120" i="64" s="1"/>
  <c r="L119" i="64"/>
  <c r="N119" i="64" s="1"/>
  <c r="L118" i="64"/>
  <c r="N118" i="64" s="1"/>
  <c r="L117" i="64"/>
  <c r="N117" i="64" s="1"/>
  <c r="L116" i="64"/>
  <c r="N116" i="64" s="1"/>
  <c r="L115" i="64"/>
  <c r="L114" i="64"/>
  <c r="L113" i="64"/>
  <c r="N113" i="64" s="1"/>
  <c r="L112" i="64"/>
  <c r="N112" i="64" s="1"/>
  <c r="L111" i="64"/>
  <c r="N111" i="64" s="1"/>
  <c r="L110" i="64"/>
  <c r="N110" i="64" s="1"/>
  <c r="L109" i="64"/>
  <c r="N109" i="64" s="1"/>
  <c r="L108" i="64"/>
  <c r="N108" i="64" s="1"/>
  <c r="L107" i="64"/>
  <c r="N107" i="64" s="1"/>
  <c r="N106" i="64"/>
  <c r="L106" i="64"/>
  <c r="L105" i="64"/>
  <c r="N105" i="64" s="1"/>
  <c r="L104" i="64"/>
  <c r="N104" i="64" s="1"/>
  <c r="L103" i="64"/>
  <c r="N103" i="64" s="1"/>
  <c r="L102" i="64"/>
  <c r="N102" i="64" s="1"/>
  <c r="L101" i="64"/>
  <c r="N101" i="64" s="1"/>
  <c r="L100" i="64"/>
  <c r="N100" i="64" s="1"/>
  <c r="N99" i="64"/>
  <c r="L99" i="64"/>
  <c r="L98" i="64"/>
  <c r="N98" i="64" s="1"/>
  <c r="L97" i="64"/>
  <c r="L96" i="64"/>
  <c r="N96" i="64" s="1"/>
  <c r="L95" i="64"/>
  <c r="N95" i="64" s="1"/>
  <c r="L94" i="64"/>
  <c r="N94" i="64" s="1"/>
  <c r="L93" i="64"/>
  <c r="N93" i="64" s="1"/>
  <c r="M92" i="64"/>
  <c r="N92" i="64" s="1"/>
  <c r="L92" i="64"/>
  <c r="N91" i="64"/>
  <c r="L91" i="64"/>
  <c r="M90" i="64"/>
  <c r="L90" i="64"/>
  <c r="L89" i="64"/>
  <c r="N89" i="64" s="1"/>
  <c r="L88" i="64"/>
  <c r="N88" i="64" s="1"/>
  <c r="L87" i="64"/>
  <c r="N87" i="64" s="1"/>
  <c r="L86" i="64"/>
  <c r="N86" i="64" s="1"/>
  <c r="L85" i="64"/>
  <c r="N85" i="64" s="1"/>
  <c r="N84" i="64"/>
  <c r="L84" i="64"/>
  <c r="M80" i="64"/>
  <c r="L80" i="64"/>
  <c r="L79" i="64"/>
  <c r="N79" i="64" s="1"/>
  <c r="L78" i="64"/>
  <c r="N78" i="64" s="1"/>
  <c r="M77" i="64"/>
  <c r="L77" i="64"/>
  <c r="N77" i="64" s="1"/>
  <c r="L76" i="64"/>
  <c r="N76" i="64" s="1"/>
  <c r="N75" i="64"/>
  <c r="L75" i="64"/>
  <c r="L74" i="64"/>
  <c r="N74" i="64" s="1"/>
  <c r="L73" i="64"/>
  <c r="N73" i="64" s="1"/>
  <c r="L72" i="64"/>
  <c r="L71" i="64"/>
  <c r="N71" i="64" s="1"/>
  <c r="L70" i="64"/>
  <c r="N70" i="64" s="1"/>
  <c r="L69" i="64"/>
  <c r="N69" i="64" s="1"/>
  <c r="L68" i="64"/>
  <c r="L67" i="64"/>
  <c r="N67" i="64" s="1"/>
  <c r="L66" i="64"/>
  <c r="N66" i="64" s="1"/>
  <c r="L65" i="64"/>
  <c r="N65" i="64" s="1"/>
  <c r="L64" i="64"/>
  <c r="N64" i="64" s="1"/>
  <c r="L63" i="64"/>
  <c r="N63" i="64" s="1"/>
  <c r="L62" i="64"/>
  <c r="N62" i="64" s="1"/>
  <c r="L61" i="64"/>
  <c r="N61" i="64" s="1"/>
  <c r="L60" i="64"/>
  <c r="N60" i="64" s="1"/>
  <c r="L59" i="64"/>
  <c r="N59" i="64" s="1"/>
  <c r="N58" i="64"/>
  <c r="L58" i="64"/>
  <c r="N57" i="64"/>
  <c r="L57" i="64"/>
  <c r="L56" i="64"/>
  <c r="N56" i="64" s="1"/>
  <c r="L55" i="64"/>
  <c r="N55" i="64" s="1"/>
  <c r="L54" i="64"/>
  <c r="N54" i="64" s="1"/>
  <c r="L53" i="64"/>
  <c r="N53" i="64" s="1"/>
  <c r="L52" i="64"/>
  <c r="N52" i="64" s="1"/>
  <c r="N51" i="64"/>
  <c r="N50" i="64"/>
  <c r="L50" i="64"/>
  <c r="M49" i="64"/>
  <c r="L49" i="64"/>
  <c r="L48" i="64"/>
  <c r="N48" i="64" s="1"/>
  <c r="L47" i="64"/>
  <c r="N47" i="64" s="1"/>
  <c r="L46" i="64"/>
  <c r="N46" i="64" s="1"/>
  <c r="L42" i="64"/>
  <c r="N42" i="64" s="1"/>
  <c r="L41" i="64"/>
  <c r="N41" i="64" s="1"/>
  <c r="N40" i="64"/>
  <c r="L40" i="64"/>
  <c r="L39" i="64"/>
  <c r="N38" i="64"/>
  <c r="L38" i="64"/>
  <c r="L37" i="64"/>
  <c r="N37" i="64" s="1"/>
  <c r="L36" i="64"/>
  <c r="N36" i="64" s="1"/>
  <c r="L35" i="64"/>
  <c r="N35" i="64" s="1"/>
  <c r="L33" i="64"/>
  <c r="N33" i="64" s="1"/>
  <c r="N32" i="64"/>
  <c r="L32" i="64"/>
  <c r="L31" i="64"/>
  <c r="M26" i="64"/>
  <c r="O13" i="64" s="1"/>
  <c r="K26" i="64"/>
  <c r="J26" i="64"/>
  <c r="I26" i="64"/>
  <c r="H26" i="64"/>
  <c r="G26" i="64"/>
  <c r="F26" i="64"/>
  <c r="E26" i="64"/>
  <c r="D26" i="64"/>
  <c r="C26" i="64"/>
  <c r="N25" i="64"/>
  <c r="L25" i="64"/>
  <c r="L24" i="64"/>
  <c r="N24" i="64" s="1"/>
  <c r="L22" i="64"/>
  <c r="N22" i="64" s="1"/>
  <c r="L21" i="64"/>
  <c r="N21" i="64" s="1"/>
  <c r="L20" i="64"/>
  <c r="N20" i="64" s="1"/>
  <c r="L19" i="64"/>
  <c r="N19" i="64" s="1"/>
  <c r="O18" i="64"/>
  <c r="L18" i="64"/>
  <c r="N18" i="64" s="1"/>
  <c r="O15" i="64"/>
  <c r="L15" i="64"/>
  <c r="N15" i="64" s="1"/>
  <c r="N13" i="64"/>
  <c r="L13" i="64"/>
  <c r="L12" i="64"/>
  <c r="N12" i="64" s="1"/>
  <c r="L11" i="64"/>
  <c r="L10" i="64"/>
  <c r="C158" i="63"/>
  <c r="M10" i="63"/>
  <c r="M113" i="63"/>
  <c r="M99" i="63"/>
  <c r="N99" i="63" s="1"/>
  <c r="M98" i="63"/>
  <c r="M96" i="63"/>
  <c r="M91" i="63"/>
  <c r="M90" i="63"/>
  <c r="M89" i="63"/>
  <c r="M83" i="63"/>
  <c r="M79" i="63"/>
  <c r="N79" i="63" s="1"/>
  <c r="M76" i="63"/>
  <c r="M75" i="63"/>
  <c r="N75" i="63" s="1"/>
  <c r="M71" i="63"/>
  <c r="M68" i="63"/>
  <c r="M67" i="63"/>
  <c r="M49" i="63"/>
  <c r="M48" i="63"/>
  <c r="M46" i="63"/>
  <c r="M45" i="63"/>
  <c r="M38" i="63"/>
  <c r="M37" i="63"/>
  <c r="M33" i="63"/>
  <c r="M32" i="63"/>
  <c r="M31" i="63"/>
  <c r="M18" i="63"/>
  <c r="M15" i="63"/>
  <c r="N15" i="63" s="1"/>
  <c r="C165" i="63"/>
  <c r="K138" i="63"/>
  <c r="J138" i="63"/>
  <c r="I138" i="63"/>
  <c r="H138" i="63"/>
  <c r="G138" i="63"/>
  <c r="F138" i="63"/>
  <c r="E138" i="63"/>
  <c r="D138" i="63"/>
  <c r="C138" i="63"/>
  <c r="L137" i="63"/>
  <c r="N137" i="63" s="1"/>
  <c r="N136" i="63"/>
  <c r="L136" i="63"/>
  <c r="L135" i="63"/>
  <c r="N135" i="63" s="1"/>
  <c r="L134" i="63"/>
  <c r="N134" i="63" s="1"/>
  <c r="L130" i="63"/>
  <c r="N130" i="63" s="1"/>
  <c r="N129" i="63"/>
  <c r="L129" i="63"/>
  <c r="L128" i="63"/>
  <c r="N128" i="63" s="1"/>
  <c r="L127" i="63"/>
  <c r="N127" i="63" s="1"/>
  <c r="L126" i="63"/>
  <c r="N126" i="63" s="1"/>
  <c r="N125" i="63"/>
  <c r="L125" i="63"/>
  <c r="L124" i="63"/>
  <c r="N124" i="63" s="1"/>
  <c r="L119" i="63"/>
  <c r="N119" i="63" s="1"/>
  <c r="L118" i="63"/>
  <c r="N118" i="63" s="1"/>
  <c r="N117" i="63"/>
  <c r="L117" i="63"/>
  <c r="L116" i="63"/>
  <c r="N116" i="63" s="1"/>
  <c r="L115" i="63"/>
  <c r="N115" i="63" s="1"/>
  <c r="M114" i="63"/>
  <c r="L114" i="63"/>
  <c r="N114" i="63" s="1"/>
  <c r="L113" i="63"/>
  <c r="L112" i="63"/>
  <c r="N112" i="63" s="1"/>
  <c r="N111" i="63"/>
  <c r="L111" i="63"/>
  <c r="L110" i="63"/>
  <c r="N110" i="63" s="1"/>
  <c r="L109" i="63"/>
  <c r="N109" i="63" s="1"/>
  <c r="L108" i="63"/>
  <c r="N108" i="63" s="1"/>
  <c r="N107" i="63"/>
  <c r="L107" i="63"/>
  <c r="L106" i="63"/>
  <c r="N106" i="63" s="1"/>
  <c r="L105" i="63"/>
  <c r="N105" i="63" s="1"/>
  <c r="L104" i="63"/>
  <c r="N104" i="63" s="1"/>
  <c r="N103" i="63"/>
  <c r="L103" i="63"/>
  <c r="L102" i="63"/>
  <c r="N102" i="63" s="1"/>
  <c r="L101" i="63"/>
  <c r="N101" i="63" s="1"/>
  <c r="L100" i="63"/>
  <c r="N100" i="63" s="1"/>
  <c r="L99" i="63"/>
  <c r="L98" i="63"/>
  <c r="N97" i="63"/>
  <c r="L97" i="63"/>
  <c r="L96" i="63"/>
  <c r="N96" i="63" s="1"/>
  <c r="L95" i="63"/>
  <c r="N95" i="63" s="1"/>
  <c r="L94" i="63"/>
  <c r="N94" i="63" s="1"/>
  <c r="N93" i="63"/>
  <c r="L93" i="63"/>
  <c r="L92" i="63"/>
  <c r="N92" i="63" s="1"/>
  <c r="L91" i="63"/>
  <c r="L90" i="63"/>
  <c r="N90" i="63" s="1"/>
  <c r="L89" i="63"/>
  <c r="L88" i="63"/>
  <c r="N88" i="63" s="1"/>
  <c r="N87" i="63"/>
  <c r="L87" i="63"/>
  <c r="L86" i="63"/>
  <c r="N86" i="63" s="1"/>
  <c r="N85" i="63"/>
  <c r="L85" i="63"/>
  <c r="L84" i="63"/>
  <c r="N84" i="63" s="1"/>
  <c r="L83" i="63"/>
  <c r="L79" i="63"/>
  <c r="N78" i="63"/>
  <c r="L78" i="63"/>
  <c r="L77" i="63"/>
  <c r="N77" i="63" s="1"/>
  <c r="L76" i="63"/>
  <c r="L75" i="63"/>
  <c r="N74" i="63"/>
  <c r="L74" i="63"/>
  <c r="L73" i="63"/>
  <c r="N73" i="63" s="1"/>
  <c r="N72" i="63"/>
  <c r="L72" i="63"/>
  <c r="L71" i="63"/>
  <c r="N70" i="63"/>
  <c r="L70" i="63"/>
  <c r="N69" i="63"/>
  <c r="L69" i="63"/>
  <c r="L68" i="63"/>
  <c r="N68" i="63" s="1"/>
  <c r="L67" i="63"/>
  <c r="N66" i="63"/>
  <c r="L66" i="63"/>
  <c r="L65" i="63"/>
  <c r="N65" i="63" s="1"/>
  <c r="N64" i="63"/>
  <c r="L64" i="63"/>
  <c r="L63" i="63"/>
  <c r="N63" i="63" s="1"/>
  <c r="N62" i="63"/>
  <c r="L62" i="63"/>
  <c r="N61" i="63"/>
  <c r="L61" i="63"/>
  <c r="L60" i="63"/>
  <c r="N60" i="63" s="1"/>
  <c r="L59" i="63"/>
  <c r="N59" i="63" s="1"/>
  <c r="N58" i="63"/>
  <c r="L58" i="63"/>
  <c r="L57" i="63"/>
  <c r="N57" i="63" s="1"/>
  <c r="N56" i="63"/>
  <c r="L56" i="63"/>
  <c r="N55" i="63"/>
  <c r="L55" i="63"/>
  <c r="L54" i="63"/>
  <c r="N54" i="63" s="1"/>
  <c r="L53" i="63"/>
  <c r="N53" i="63" s="1"/>
  <c r="L52" i="63"/>
  <c r="N52" i="63" s="1"/>
  <c r="N51" i="63"/>
  <c r="L51" i="63"/>
  <c r="L50" i="63"/>
  <c r="N50" i="63" s="1"/>
  <c r="L49" i="63"/>
  <c r="N49" i="63" s="1"/>
  <c r="N48" i="63"/>
  <c r="L48" i="63"/>
  <c r="L47" i="63"/>
  <c r="N47" i="63" s="1"/>
  <c r="L46" i="63"/>
  <c r="L45" i="63"/>
  <c r="N45" i="63" s="1"/>
  <c r="N41" i="63"/>
  <c r="L41" i="63"/>
  <c r="N40" i="63"/>
  <c r="L40" i="63"/>
  <c r="L39" i="63"/>
  <c r="N39" i="63" s="1"/>
  <c r="L38" i="63"/>
  <c r="L37" i="63"/>
  <c r="L36" i="63"/>
  <c r="N36" i="63" s="1"/>
  <c r="N35" i="63"/>
  <c r="L35" i="63"/>
  <c r="N34" i="63"/>
  <c r="L34" i="63"/>
  <c r="L33" i="63"/>
  <c r="L32" i="63"/>
  <c r="N31" i="63"/>
  <c r="L31" i="63"/>
  <c r="M26" i="63"/>
  <c r="O24" i="63" s="1"/>
  <c r="K26" i="63"/>
  <c r="J26" i="63"/>
  <c r="I26" i="63"/>
  <c r="H26" i="63"/>
  <c r="G26" i="63"/>
  <c r="F26" i="63"/>
  <c r="E26" i="63"/>
  <c r="D26" i="63"/>
  <c r="C26" i="63"/>
  <c r="L25" i="63"/>
  <c r="N25" i="63" s="1"/>
  <c r="L24" i="63"/>
  <c r="N24" i="63" s="1"/>
  <c r="N22" i="63"/>
  <c r="L22" i="63"/>
  <c r="L21" i="63"/>
  <c r="N21" i="63" s="1"/>
  <c r="N20" i="63"/>
  <c r="L20" i="63"/>
  <c r="L19" i="63"/>
  <c r="N19" i="63" s="1"/>
  <c r="L18" i="63"/>
  <c r="N18" i="63" s="1"/>
  <c r="L15" i="63"/>
  <c r="N13" i="63"/>
  <c r="L13" i="63"/>
  <c r="L12" i="63"/>
  <c r="N12" i="63" s="1"/>
  <c r="L11" i="63"/>
  <c r="L26" i="63" s="1"/>
  <c r="L10" i="63"/>
  <c r="N10" i="63" s="1"/>
  <c r="C158" i="62"/>
  <c r="C171" i="65" l="1"/>
  <c r="N97" i="64"/>
  <c r="L26" i="64"/>
  <c r="N72" i="64"/>
  <c r="N90" i="64"/>
  <c r="N114" i="64"/>
  <c r="L139" i="64"/>
  <c r="N39" i="64"/>
  <c r="N49" i="64"/>
  <c r="N115" i="64"/>
  <c r="O10" i="64"/>
  <c r="O20" i="64"/>
  <c r="M139" i="64"/>
  <c r="O21" i="64"/>
  <c r="N31" i="64"/>
  <c r="C151" i="64"/>
  <c r="N68" i="64"/>
  <c r="N10" i="64"/>
  <c r="N26" i="64" s="1"/>
  <c r="N80" i="64"/>
  <c r="O22" i="64"/>
  <c r="O25" i="64"/>
  <c r="O12" i="64"/>
  <c r="O19" i="64"/>
  <c r="O24" i="64"/>
  <c r="N113" i="63"/>
  <c r="N89" i="63"/>
  <c r="N83" i="63"/>
  <c r="N76" i="63"/>
  <c r="N71" i="63"/>
  <c r="N67" i="63"/>
  <c r="N46" i="63"/>
  <c r="N38" i="63"/>
  <c r="N33" i="63"/>
  <c r="N32" i="63"/>
  <c r="O13" i="63"/>
  <c r="N26" i="63"/>
  <c r="O15" i="63"/>
  <c r="O18" i="63"/>
  <c r="O25" i="63"/>
  <c r="O20" i="63"/>
  <c r="O12" i="63"/>
  <c r="C150" i="63"/>
  <c r="O10" i="63"/>
  <c r="O19" i="63"/>
  <c r="O22" i="63"/>
  <c r="L138" i="63"/>
  <c r="O21" i="63"/>
  <c r="M138" i="63"/>
  <c r="O96" i="63" s="1"/>
  <c r="N37" i="63"/>
  <c r="N91" i="63"/>
  <c r="N98" i="63"/>
  <c r="M114" i="62"/>
  <c r="M113" i="62"/>
  <c r="M98" i="62"/>
  <c r="M96" i="62"/>
  <c r="M91" i="62"/>
  <c r="M90" i="62"/>
  <c r="M83" i="62"/>
  <c r="M75" i="62"/>
  <c r="M68" i="62"/>
  <c r="M67" i="62"/>
  <c r="M49" i="62"/>
  <c r="M46" i="62"/>
  <c r="N46" i="62" s="1"/>
  <c r="M45" i="62"/>
  <c r="M18" i="61"/>
  <c r="M10" i="61"/>
  <c r="M38" i="61"/>
  <c r="M37" i="61"/>
  <c r="M33" i="61"/>
  <c r="M32" i="61"/>
  <c r="M31" i="61"/>
  <c r="C165" i="62"/>
  <c r="K138" i="62"/>
  <c r="J138" i="62"/>
  <c r="I138" i="62"/>
  <c r="H138" i="62"/>
  <c r="G138" i="62"/>
  <c r="F138" i="62"/>
  <c r="E138" i="62"/>
  <c r="D138" i="62"/>
  <c r="C138" i="62"/>
  <c r="N137" i="62"/>
  <c r="L137" i="62"/>
  <c r="L136" i="62"/>
  <c r="N136" i="62" s="1"/>
  <c r="L135" i="62"/>
  <c r="N135" i="62" s="1"/>
  <c r="N134" i="62"/>
  <c r="L134" i="62"/>
  <c r="N130" i="62"/>
  <c r="L130" i="62"/>
  <c r="L129" i="62"/>
  <c r="N129" i="62" s="1"/>
  <c r="L128" i="62"/>
  <c r="N128" i="62" s="1"/>
  <c r="N127" i="62"/>
  <c r="L127" i="62"/>
  <c r="N126" i="62"/>
  <c r="L126" i="62"/>
  <c r="L125" i="62"/>
  <c r="N125" i="62" s="1"/>
  <c r="L124" i="62"/>
  <c r="N124" i="62" s="1"/>
  <c r="N119" i="62"/>
  <c r="L119" i="62"/>
  <c r="N118" i="62"/>
  <c r="L118" i="62"/>
  <c r="L117" i="62"/>
  <c r="N117" i="62" s="1"/>
  <c r="L116" i="62"/>
  <c r="N116" i="62" s="1"/>
  <c r="N115" i="62"/>
  <c r="L115" i="62"/>
  <c r="N114" i="62"/>
  <c r="L114" i="62"/>
  <c r="L113" i="62"/>
  <c r="N113" i="62" s="1"/>
  <c r="L112" i="62"/>
  <c r="N112" i="62" s="1"/>
  <c r="N111" i="62"/>
  <c r="L111" i="62"/>
  <c r="N110" i="62"/>
  <c r="L110" i="62"/>
  <c r="L109" i="62"/>
  <c r="N109" i="62" s="1"/>
  <c r="L108" i="62"/>
  <c r="N108" i="62" s="1"/>
  <c r="N107" i="62"/>
  <c r="L107" i="62"/>
  <c r="N106" i="62"/>
  <c r="L106" i="62"/>
  <c r="L105" i="62"/>
  <c r="N105" i="62" s="1"/>
  <c r="L104" i="62"/>
  <c r="N104" i="62" s="1"/>
  <c r="N103" i="62"/>
  <c r="L103" i="62"/>
  <c r="N102" i="62"/>
  <c r="L102" i="62"/>
  <c r="L101" i="62"/>
  <c r="N101" i="62" s="1"/>
  <c r="L100" i="62"/>
  <c r="N100" i="62" s="1"/>
  <c r="N99" i="62"/>
  <c r="L99" i="62"/>
  <c r="N98" i="62"/>
  <c r="L98" i="62"/>
  <c r="L97" i="62"/>
  <c r="N97" i="62" s="1"/>
  <c r="L96" i="62"/>
  <c r="N95" i="62"/>
  <c r="L95" i="62"/>
  <c r="N94" i="62"/>
  <c r="L94" i="62"/>
  <c r="L93" i="62"/>
  <c r="N93" i="62" s="1"/>
  <c r="L92" i="62"/>
  <c r="N92" i="62" s="1"/>
  <c r="N91" i="62"/>
  <c r="L91" i="62"/>
  <c r="N90" i="62"/>
  <c r="L90" i="62"/>
  <c r="L89" i="62"/>
  <c r="N89" i="62" s="1"/>
  <c r="L88" i="62"/>
  <c r="N88" i="62" s="1"/>
  <c r="N87" i="62"/>
  <c r="L87" i="62"/>
  <c r="N86" i="62"/>
  <c r="L86" i="62"/>
  <c r="L85" i="62"/>
  <c r="N85" i="62" s="1"/>
  <c r="L84" i="62"/>
  <c r="N84" i="62" s="1"/>
  <c r="N83" i="62"/>
  <c r="L83" i="62"/>
  <c r="N79" i="62"/>
  <c r="L79" i="62"/>
  <c r="L78" i="62"/>
  <c r="N78" i="62" s="1"/>
  <c r="L77" i="62"/>
  <c r="N77" i="62" s="1"/>
  <c r="N76" i="62"/>
  <c r="L76" i="62"/>
  <c r="N75" i="62"/>
  <c r="L75" i="62"/>
  <c r="L74" i="62"/>
  <c r="N74" i="62" s="1"/>
  <c r="L73" i="62"/>
  <c r="N73" i="62" s="1"/>
  <c r="N72" i="62"/>
  <c r="L72" i="62"/>
  <c r="N71" i="62"/>
  <c r="L71" i="62"/>
  <c r="L70" i="62"/>
  <c r="N70" i="62" s="1"/>
  <c r="L69" i="62"/>
  <c r="N69" i="62" s="1"/>
  <c r="N68" i="62"/>
  <c r="L68" i="62"/>
  <c r="N67" i="62"/>
  <c r="L67" i="62"/>
  <c r="L66" i="62"/>
  <c r="N66" i="62" s="1"/>
  <c r="L65" i="62"/>
  <c r="N65" i="62" s="1"/>
  <c r="N64" i="62"/>
  <c r="L64" i="62"/>
  <c r="L63" i="62"/>
  <c r="N63" i="62" s="1"/>
  <c r="N62" i="62"/>
  <c r="L62" i="62"/>
  <c r="N61" i="62"/>
  <c r="L61" i="62"/>
  <c r="L60" i="62"/>
  <c r="N60" i="62" s="1"/>
  <c r="L59" i="62"/>
  <c r="N59" i="62" s="1"/>
  <c r="N58" i="62"/>
  <c r="L58" i="62"/>
  <c r="N57" i="62"/>
  <c r="L57" i="62"/>
  <c r="L56" i="62"/>
  <c r="N56" i="62" s="1"/>
  <c r="N55" i="62"/>
  <c r="L55" i="62"/>
  <c r="N54" i="62"/>
  <c r="L54" i="62"/>
  <c r="L53" i="62"/>
  <c r="N53" i="62" s="1"/>
  <c r="L52" i="62"/>
  <c r="N52" i="62" s="1"/>
  <c r="N51" i="62"/>
  <c r="L51" i="62"/>
  <c r="N50" i="62"/>
  <c r="L50" i="62"/>
  <c r="L49" i="62"/>
  <c r="N49" i="62" s="1"/>
  <c r="L48" i="62"/>
  <c r="N48" i="62" s="1"/>
  <c r="N47" i="62"/>
  <c r="L47" i="62"/>
  <c r="L46" i="62"/>
  <c r="L45" i="62"/>
  <c r="N45" i="62" s="1"/>
  <c r="L41" i="62"/>
  <c r="N41" i="62" s="1"/>
  <c r="N40" i="62"/>
  <c r="L40" i="62"/>
  <c r="N39" i="62"/>
  <c r="L39" i="62"/>
  <c r="N38" i="62"/>
  <c r="M38" i="62"/>
  <c r="L38" i="62"/>
  <c r="M37" i="62"/>
  <c r="L37" i="62"/>
  <c r="L36" i="62"/>
  <c r="N36" i="62" s="1"/>
  <c r="L35" i="62"/>
  <c r="N35" i="62" s="1"/>
  <c r="N34" i="62"/>
  <c r="L34" i="62"/>
  <c r="N33" i="62"/>
  <c r="M33" i="62"/>
  <c r="L33" i="62"/>
  <c r="N32" i="62"/>
  <c r="M32" i="62"/>
  <c r="L32" i="62"/>
  <c r="N31" i="62"/>
  <c r="M31" i="62"/>
  <c r="L31" i="62"/>
  <c r="K26" i="62"/>
  <c r="J26" i="62"/>
  <c r="I26" i="62"/>
  <c r="H26" i="62"/>
  <c r="G26" i="62"/>
  <c r="F26" i="62"/>
  <c r="E26" i="62"/>
  <c r="D26" i="62"/>
  <c r="C26" i="62"/>
  <c r="N25" i="62"/>
  <c r="L25" i="62"/>
  <c r="L24" i="62"/>
  <c r="N24" i="62" s="1"/>
  <c r="L22" i="62"/>
  <c r="N22" i="62" s="1"/>
  <c r="N21" i="62"/>
  <c r="L21" i="62"/>
  <c r="L20" i="62"/>
  <c r="N20" i="62" s="1"/>
  <c r="N19" i="62"/>
  <c r="L19" i="62"/>
  <c r="M18" i="62"/>
  <c r="L18" i="62"/>
  <c r="N18" i="62" s="1"/>
  <c r="L15" i="62"/>
  <c r="N15" i="62" s="1"/>
  <c r="N13" i="62"/>
  <c r="L13" i="62"/>
  <c r="L12" i="62"/>
  <c r="L26" i="62" s="1"/>
  <c r="L11" i="62"/>
  <c r="M10" i="62"/>
  <c r="M26" i="62" s="1"/>
  <c r="L10" i="62"/>
  <c r="C158" i="61"/>
  <c r="O39" i="64" l="1"/>
  <c r="N139" i="64"/>
  <c r="O46" i="64"/>
  <c r="O76" i="64"/>
  <c r="O115" i="64"/>
  <c r="O92" i="64"/>
  <c r="O80" i="64"/>
  <c r="O31" i="64"/>
  <c r="O100" i="64"/>
  <c r="O72" i="64"/>
  <c r="O38" i="64"/>
  <c r="O49" i="64"/>
  <c r="O110" i="64"/>
  <c r="O106" i="64"/>
  <c r="O102" i="64"/>
  <c r="O95" i="64"/>
  <c r="O88" i="64"/>
  <c r="O84" i="64"/>
  <c r="O47" i="64"/>
  <c r="O136" i="64"/>
  <c r="O129" i="64"/>
  <c r="O125" i="64"/>
  <c r="O117" i="64"/>
  <c r="O91" i="64"/>
  <c r="O74" i="64"/>
  <c r="O67" i="64"/>
  <c r="O54" i="64"/>
  <c r="O50" i="64"/>
  <c r="O37" i="64"/>
  <c r="O98" i="64"/>
  <c r="O77" i="64"/>
  <c r="O70" i="64"/>
  <c r="O62" i="64"/>
  <c r="O58" i="64"/>
  <c r="O40" i="64"/>
  <c r="O32" i="64"/>
  <c r="O42" i="64"/>
  <c r="O85" i="64"/>
  <c r="O126" i="64"/>
  <c r="O75" i="64"/>
  <c r="O114" i="64"/>
  <c r="O41" i="64"/>
  <c r="O113" i="64"/>
  <c r="O109" i="64"/>
  <c r="O105" i="64"/>
  <c r="O101" i="64"/>
  <c r="O94" i="64"/>
  <c r="O87" i="64"/>
  <c r="O79" i="64"/>
  <c r="O89" i="64"/>
  <c r="O118" i="64"/>
  <c r="O135" i="64"/>
  <c r="O128" i="64"/>
  <c r="O120" i="64"/>
  <c r="O116" i="64"/>
  <c r="O73" i="64"/>
  <c r="O66" i="64"/>
  <c r="O53" i="64"/>
  <c r="O36" i="64"/>
  <c r="O111" i="64"/>
  <c r="O137" i="64"/>
  <c r="O51" i="64"/>
  <c r="C152" i="64"/>
  <c r="C153" i="64" s="1"/>
  <c r="O97" i="64"/>
  <c r="O90" i="64"/>
  <c r="O69" i="64"/>
  <c r="O61" i="64"/>
  <c r="O57" i="64"/>
  <c r="O60" i="64"/>
  <c r="O107" i="64"/>
  <c r="O96" i="64"/>
  <c r="O33" i="64"/>
  <c r="O71" i="64"/>
  <c r="O112" i="64"/>
  <c r="O108" i="64"/>
  <c r="O104" i="64"/>
  <c r="O93" i="64"/>
  <c r="O86" i="64"/>
  <c r="O103" i="64"/>
  <c r="O130" i="64"/>
  <c r="O99" i="64"/>
  <c r="O78" i="64"/>
  <c r="O59" i="64"/>
  <c r="O138" i="64"/>
  <c r="O131" i="64"/>
  <c r="O127" i="64"/>
  <c r="O119" i="64"/>
  <c r="O65" i="64"/>
  <c r="O52" i="64"/>
  <c r="O35" i="64"/>
  <c r="O48" i="64"/>
  <c r="O55" i="64"/>
  <c r="O68" i="64"/>
  <c r="N138" i="63"/>
  <c r="O31" i="63"/>
  <c r="O32" i="63"/>
  <c r="O134" i="63"/>
  <c r="O127" i="63"/>
  <c r="O119" i="63"/>
  <c r="O115" i="63"/>
  <c r="O109" i="63"/>
  <c r="O105" i="63"/>
  <c r="O101" i="63"/>
  <c r="O95" i="63"/>
  <c r="O89" i="63"/>
  <c r="O85" i="63"/>
  <c r="O77" i="63"/>
  <c r="O72" i="63"/>
  <c r="O66" i="63"/>
  <c r="O60" i="63"/>
  <c r="O56" i="63"/>
  <c r="O53" i="63"/>
  <c r="O48" i="63"/>
  <c r="O39" i="63"/>
  <c r="C151" i="63"/>
  <c r="O135" i="63"/>
  <c r="O128" i="63"/>
  <c r="O124" i="63"/>
  <c r="O116" i="63"/>
  <c r="O110" i="63"/>
  <c r="O106" i="63"/>
  <c r="O102" i="63"/>
  <c r="O97" i="63"/>
  <c r="O92" i="63"/>
  <c r="O86" i="63"/>
  <c r="O113" i="63"/>
  <c r="O94" i="63"/>
  <c r="O88" i="63"/>
  <c r="O73" i="63"/>
  <c r="O57" i="63"/>
  <c r="O52" i="63"/>
  <c r="O137" i="63"/>
  <c r="O130" i="63"/>
  <c r="O126" i="63"/>
  <c r="O118" i="63"/>
  <c r="O114" i="63"/>
  <c r="O111" i="63"/>
  <c r="O107" i="63"/>
  <c r="O103" i="63"/>
  <c r="O99" i="63"/>
  <c r="O84" i="63"/>
  <c r="O75" i="63"/>
  <c r="O74" i="63"/>
  <c r="O71" i="63"/>
  <c r="O65" i="63"/>
  <c r="O58" i="63"/>
  <c r="O50" i="63"/>
  <c r="O47" i="63"/>
  <c r="O36" i="63"/>
  <c r="O93" i="63"/>
  <c r="O87" i="63"/>
  <c r="O78" i="63"/>
  <c r="O69" i="63"/>
  <c r="O61" i="63"/>
  <c r="O51" i="63"/>
  <c r="O40" i="63"/>
  <c r="O34" i="63"/>
  <c r="O136" i="63"/>
  <c r="O129" i="63"/>
  <c r="O125" i="63"/>
  <c r="O117" i="63"/>
  <c r="O112" i="63"/>
  <c r="O108" i="63"/>
  <c r="O104" i="63"/>
  <c r="O100" i="63"/>
  <c r="O83" i="63"/>
  <c r="O79" i="63"/>
  <c r="O76" i="63"/>
  <c r="O70" i="63"/>
  <c r="O64" i="63"/>
  <c r="O59" i="63"/>
  <c r="O54" i="63"/>
  <c r="O46" i="63"/>
  <c r="O45" i="63"/>
  <c r="O41" i="63"/>
  <c r="O38" i="63"/>
  <c r="O35" i="63"/>
  <c r="O90" i="63"/>
  <c r="C152" i="63"/>
  <c r="O37" i="63"/>
  <c r="O67" i="63"/>
  <c r="O68" i="63"/>
  <c r="O98" i="63"/>
  <c r="O49" i="63"/>
  <c r="O33" i="63"/>
  <c r="O91" i="63"/>
  <c r="N96" i="62"/>
  <c r="N138" i="62" s="1"/>
  <c r="C150" i="62"/>
  <c r="O24" i="62"/>
  <c r="O19" i="62"/>
  <c r="O20" i="62"/>
  <c r="O15" i="62"/>
  <c r="O25" i="62"/>
  <c r="O21" i="62"/>
  <c r="O12" i="62"/>
  <c r="O13" i="62"/>
  <c r="O22" i="62"/>
  <c r="O18" i="62"/>
  <c r="M138" i="62"/>
  <c r="O37" i="62" s="1"/>
  <c r="L138" i="62"/>
  <c r="N37" i="62"/>
  <c r="O10" i="62"/>
  <c r="N10" i="62"/>
  <c r="N26" i="62" s="1"/>
  <c r="N12" i="62"/>
  <c r="C165" i="61"/>
  <c r="K138" i="61"/>
  <c r="J138" i="61"/>
  <c r="I138" i="61"/>
  <c r="H138" i="61"/>
  <c r="G138" i="61"/>
  <c r="F138" i="61"/>
  <c r="E138" i="61"/>
  <c r="D138" i="61"/>
  <c r="C138" i="61"/>
  <c r="L137" i="61"/>
  <c r="N137" i="61" s="1"/>
  <c r="L136" i="61"/>
  <c r="N136" i="61" s="1"/>
  <c r="L135" i="61"/>
  <c r="N135" i="61" s="1"/>
  <c r="L134" i="61"/>
  <c r="N134" i="61" s="1"/>
  <c r="L130" i="61"/>
  <c r="N130" i="61" s="1"/>
  <c r="L129" i="61"/>
  <c r="N129" i="61" s="1"/>
  <c r="L128" i="61"/>
  <c r="N128" i="61" s="1"/>
  <c r="L127" i="61"/>
  <c r="N127" i="61" s="1"/>
  <c r="L126" i="61"/>
  <c r="N126" i="61" s="1"/>
  <c r="L125" i="61"/>
  <c r="N125" i="61" s="1"/>
  <c r="L124" i="61"/>
  <c r="N124" i="61" s="1"/>
  <c r="L119" i="61"/>
  <c r="N119" i="61" s="1"/>
  <c r="L118" i="61"/>
  <c r="N118" i="61" s="1"/>
  <c r="L117" i="61"/>
  <c r="N117" i="61" s="1"/>
  <c r="L116" i="61"/>
  <c r="N116" i="61" s="1"/>
  <c r="L115" i="61"/>
  <c r="N115" i="61" s="1"/>
  <c r="L114" i="61"/>
  <c r="N114" i="61" s="1"/>
  <c r="L113" i="61"/>
  <c r="N113" i="61" s="1"/>
  <c r="L112" i="61"/>
  <c r="N112" i="61" s="1"/>
  <c r="L111" i="61"/>
  <c r="N111" i="61" s="1"/>
  <c r="L110" i="61"/>
  <c r="N110" i="61" s="1"/>
  <c r="L109" i="61"/>
  <c r="N109" i="61" s="1"/>
  <c r="L108" i="61"/>
  <c r="N108" i="61" s="1"/>
  <c r="L107" i="61"/>
  <c r="N107" i="61" s="1"/>
  <c r="L106" i="61"/>
  <c r="N106" i="61" s="1"/>
  <c r="L105" i="61"/>
  <c r="N105" i="61" s="1"/>
  <c r="L104" i="61"/>
  <c r="N104" i="61" s="1"/>
  <c r="L103" i="61"/>
  <c r="N103" i="61" s="1"/>
  <c r="L102" i="61"/>
  <c r="N102" i="61" s="1"/>
  <c r="L101" i="61"/>
  <c r="N101" i="61" s="1"/>
  <c r="L100" i="61"/>
  <c r="N100" i="61" s="1"/>
  <c r="L99" i="61"/>
  <c r="N99" i="61" s="1"/>
  <c r="L98" i="61"/>
  <c r="N98" i="61" s="1"/>
  <c r="L97" i="61"/>
  <c r="N97" i="61" s="1"/>
  <c r="L96" i="61"/>
  <c r="N96" i="61" s="1"/>
  <c r="L95" i="61"/>
  <c r="N95" i="61" s="1"/>
  <c r="L94" i="61"/>
  <c r="N94" i="61" s="1"/>
  <c r="L93" i="61"/>
  <c r="N93" i="61" s="1"/>
  <c r="L92" i="61"/>
  <c r="N92" i="61" s="1"/>
  <c r="L91" i="61"/>
  <c r="L90" i="61"/>
  <c r="L89" i="61"/>
  <c r="L88" i="61"/>
  <c r="N88" i="61" s="1"/>
  <c r="L87" i="61"/>
  <c r="N87" i="61" s="1"/>
  <c r="L86" i="61"/>
  <c r="N86" i="61" s="1"/>
  <c r="L85" i="61"/>
  <c r="N85" i="61" s="1"/>
  <c r="L84" i="61"/>
  <c r="N84" i="61" s="1"/>
  <c r="L83" i="61"/>
  <c r="N83" i="61" s="1"/>
  <c r="L79" i="61"/>
  <c r="N79" i="61" s="1"/>
  <c r="L78" i="61"/>
  <c r="N78" i="61" s="1"/>
  <c r="L77" i="61"/>
  <c r="N77" i="61" s="1"/>
  <c r="L76" i="61"/>
  <c r="N76" i="61" s="1"/>
  <c r="L75" i="61"/>
  <c r="N75" i="61" s="1"/>
  <c r="L74" i="61"/>
  <c r="N74" i="61" s="1"/>
  <c r="L73" i="61"/>
  <c r="N73" i="61" s="1"/>
  <c r="L72" i="61"/>
  <c r="N72" i="61" s="1"/>
  <c r="L71" i="61"/>
  <c r="N71" i="61" s="1"/>
  <c r="L70" i="61"/>
  <c r="N70" i="61" s="1"/>
  <c r="L69" i="61"/>
  <c r="N69" i="61" s="1"/>
  <c r="L68" i="61"/>
  <c r="N68" i="61" s="1"/>
  <c r="L67" i="61"/>
  <c r="N67" i="61" s="1"/>
  <c r="L66" i="61"/>
  <c r="N66" i="61" s="1"/>
  <c r="L65" i="61"/>
  <c r="N65" i="61" s="1"/>
  <c r="L64" i="61"/>
  <c r="N64" i="61" s="1"/>
  <c r="L63" i="61"/>
  <c r="N63" i="61" s="1"/>
  <c r="L62" i="61"/>
  <c r="N62" i="61" s="1"/>
  <c r="L61" i="61"/>
  <c r="N61" i="61" s="1"/>
  <c r="L60" i="61"/>
  <c r="N60" i="61" s="1"/>
  <c r="L59" i="61"/>
  <c r="N59" i="61" s="1"/>
  <c r="L58" i="61"/>
  <c r="N58" i="61" s="1"/>
  <c r="L57" i="61"/>
  <c r="N57" i="61" s="1"/>
  <c r="L56" i="61"/>
  <c r="N56" i="61" s="1"/>
  <c r="L55" i="61"/>
  <c r="N55" i="61" s="1"/>
  <c r="L54" i="61"/>
  <c r="N54" i="61" s="1"/>
  <c r="L53" i="61"/>
  <c r="N53" i="61" s="1"/>
  <c r="L52" i="61"/>
  <c r="N52" i="61" s="1"/>
  <c r="L51" i="61"/>
  <c r="N51" i="61" s="1"/>
  <c r="L50" i="61"/>
  <c r="N50" i="61" s="1"/>
  <c r="L49" i="61"/>
  <c r="N49" i="61" s="1"/>
  <c r="L48" i="61"/>
  <c r="N48" i="61" s="1"/>
  <c r="L47" i="61"/>
  <c r="N47" i="61" s="1"/>
  <c r="L46" i="61"/>
  <c r="N46" i="61" s="1"/>
  <c r="L45" i="61"/>
  <c r="N45" i="61" s="1"/>
  <c r="L41" i="61"/>
  <c r="L40" i="61"/>
  <c r="N40" i="61" s="1"/>
  <c r="L39" i="61"/>
  <c r="N39" i="61" s="1"/>
  <c r="L38" i="61"/>
  <c r="N38" i="61" s="1"/>
  <c r="L37" i="61"/>
  <c r="L36" i="61"/>
  <c r="L35" i="61"/>
  <c r="N35" i="61" s="1"/>
  <c r="L34" i="61"/>
  <c r="N34" i="61" s="1"/>
  <c r="L33" i="61"/>
  <c r="N33" i="61" s="1"/>
  <c r="L32" i="61"/>
  <c r="N32" i="61" s="1"/>
  <c r="M138" i="61"/>
  <c r="L31" i="61"/>
  <c r="N31" i="61" s="1"/>
  <c r="K26" i="61"/>
  <c r="J26" i="61"/>
  <c r="I26" i="61"/>
  <c r="H26" i="61"/>
  <c r="G26" i="61"/>
  <c r="F26" i="61"/>
  <c r="E26" i="61"/>
  <c r="D26" i="61"/>
  <c r="C26" i="61"/>
  <c r="L25" i="61"/>
  <c r="N25" i="61" s="1"/>
  <c r="L24" i="61"/>
  <c r="N24" i="61" s="1"/>
  <c r="L22" i="61"/>
  <c r="N22" i="61" s="1"/>
  <c r="L21" i="61"/>
  <c r="N21" i="61" s="1"/>
  <c r="L20" i="61"/>
  <c r="L19" i="61"/>
  <c r="N19" i="61" s="1"/>
  <c r="L18" i="61"/>
  <c r="N18" i="61" s="1"/>
  <c r="L15" i="61"/>
  <c r="N15" i="61" s="1"/>
  <c r="L13" i="61"/>
  <c r="N13" i="61" s="1"/>
  <c r="M26" i="61"/>
  <c r="O10" i="61" s="1"/>
  <c r="L12" i="61"/>
  <c r="N12" i="61" s="1"/>
  <c r="L11" i="61"/>
  <c r="L10" i="61"/>
  <c r="N10" i="61" s="1"/>
  <c r="C171" i="64" l="1"/>
  <c r="C169" i="64"/>
  <c r="C170" i="63"/>
  <c r="C168" i="63"/>
  <c r="O38" i="62"/>
  <c r="C151" i="62"/>
  <c r="C152" i="62" s="1"/>
  <c r="O135" i="62"/>
  <c r="O128" i="62"/>
  <c r="O124" i="62"/>
  <c r="O116" i="62"/>
  <c r="O112" i="62"/>
  <c r="O108" i="62"/>
  <c r="O104" i="62"/>
  <c r="O100" i="62"/>
  <c r="O96" i="62"/>
  <c r="O92" i="62"/>
  <c r="O88" i="62"/>
  <c r="O84" i="62"/>
  <c r="O77" i="62"/>
  <c r="O73" i="62"/>
  <c r="O69" i="62"/>
  <c r="O65" i="62"/>
  <c r="O59" i="62"/>
  <c r="O52" i="62"/>
  <c r="O48" i="62"/>
  <c r="O41" i="62"/>
  <c r="O35" i="62"/>
  <c r="O136" i="62"/>
  <c r="O129" i="62"/>
  <c r="O125" i="62"/>
  <c r="O117" i="62"/>
  <c r="O113" i="62"/>
  <c r="O109" i="62"/>
  <c r="O105" i="62"/>
  <c r="O101" i="62"/>
  <c r="O97" i="62"/>
  <c r="O93" i="62"/>
  <c r="O89" i="62"/>
  <c r="O85" i="62"/>
  <c r="O78" i="62"/>
  <c r="O74" i="62"/>
  <c r="O70" i="62"/>
  <c r="O66" i="62"/>
  <c r="O60" i="62"/>
  <c r="O56" i="62"/>
  <c r="O53" i="62"/>
  <c r="O49" i="62"/>
  <c r="O45" i="62"/>
  <c r="O36" i="62"/>
  <c r="O137" i="62"/>
  <c r="O130" i="62"/>
  <c r="O126" i="62"/>
  <c r="O118" i="62"/>
  <c r="O114" i="62"/>
  <c r="O110" i="62"/>
  <c r="O106" i="62"/>
  <c r="O102" i="62"/>
  <c r="O98" i="62"/>
  <c r="O94" i="62"/>
  <c r="O90" i="62"/>
  <c r="O86" i="62"/>
  <c r="O79" i="62"/>
  <c r="O75" i="62"/>
  <c r="O71" i="62"/>
  <c r="O67" i="62"/>
  <c r="O127" i="62"/>
  <c r="O107" i="62"/>
  <c r="O91" i="62"/>
  <c r="O72" i="62"/>
  <c r="O47" i="62"/>
  <c r="O39" i="62"/>
  <c r="O34" i="62"/>
  <c r="O99" i="62"/>
  <c r="O83" i="62"/>
  <c r="O64" i="62"/>
  <c r="O57" i="62"/>
  <c r="O119" i="62"/>
  <c r="O103" i="62"/>
  <c r="O33" i="62"/>
  <c r="O134" i="62"/>
  <c r="O111" i="62"/>
  <c r="O95" i="62"/>
  <c r="O76" i="62"/>
  <c r="O61" i="62"/>
  <c r="O54" i="62"/>
  <c r="O40" i="62"/>
  <c r="O115" i="62"/>
  <c r="O50" i="62"/>
  <c r="O87" i="62"/>
  <c r="O68" i="62"/>
  <c r="O58" i="62"/>
  <c r="O51" i="62"/>
  <c r="O46" i="62"/>
  <c r="O32" i="62"/>
  <c r="O31" i="62"/>
  <c r="L138" i="61"/>
  <c r="N36" i="61"/>
  <c r="N37" i="61"/>
  <c r="L26" i="61"/>
  <c r="N20" i="61"/>
  <c r="N26" i="61" s="1"/>
  <c r="O134" i="61"/>
  <c r="O127" i="61"/>
  <c r="O115" i="61"/>
  <c r="O114" i="61"/>
  <c r="O113" i="61"/>
  <c r="O112" i="61"/>
  <c r="O102" i="61"/>
  <c r="O85" i="61"/>
  <c r="O76" i="61"/>
  <c r="O75" i="61"/>
  <c r="O74" i="61"/>
  <c r="O68" i="61"/>
  <c r="O67" i="61"/>
  <c r="O66" i="61"/>
  <c r="O56" i="61"/>
  <c r="O46" i="61"/>
  <c r="O45" i="61"/>
  <c r="O41" i="61"/>
  <c r="O40" i="61"/>
  <c r="O130" i="61"/>
  <c r="O101" i="61"/>
  <c r="O99" i="61"/>
  <c r="O97" i="61"/>
  <c r="O94" i="61"/>
  <c r="O84" i="61"/>
  <c r="O73" i="61"/>
  <c r="O65" i="61"/>
  <c r="O135" i="61"/>
  <c r="O128" i="61"/>
  <c r="O116" i="61"/>
  <c r="O103" i="61"/>
  <c r="O86" i="61"/>
  <c r="O77" i="61"/>
  <c r="O69" i="61"/>
  <c r="O57" i="61"/>
  <c r="O47" i="61"/>
  <c r="O111" i="61"/>
  <c r="O109" i="61"/>
  <c r="O108" i="61"/>
  <c r="O96" i="61"/>
  <c r="O39" i="61"/>
  <c r="O38" i="61"/>
  <c r="O36" i="61"/>
  <c r="C151" i="61"/>
  <c r="O129" i="61"/>
  <c r="O125" i="61"/>
  <c r="O106" i="61"/>
  <c r="O105" i="61"/>
  <c r="O92" i="61"/>
  <c r="O78" i="61"/>
  <c r="O72" i="61"/>
  <c r="O58" i="61"/>
  <c r="O48" i="61"/>
  <c r="O126" i="61"/>
  <c r="O110" i="61"/>
  <c r="O107" i="61"/>
  <c r="O100" i="61"/>
  <c r="O98" i="61"/>
  <c r="O95" i="61"/>
  <c r="O93" i="61"/>
  <c r="O61" i="61"/>
  <c r="O37" i="61"/>
  <c r="O35" i="61"/>
  <c r="O51" i="61"/>
  <c r="O83" i="61"/>
  <c r="O34" i="61"/>
  <c r="O50" i="61"/>
  <c r="O54" i="61"/>
  <c r="O70" i="61"/>
  <c r="O79" i="61"/>
  <c r="O88" i="61"/>
  <c r="O90" i="61"/>
  <c r="O117" i="61"/>
  <c r="O119" i="61"/>
  <c r="O136" i="61"/>
  <c r="O18" i="61"/>
  <c r="O33" i="61"/>
  <c r="O49" i="61"/>
  <c r="O53" i="61"/>
  <c r="O60" i="61"/>
  <c r="O64" i="61"/>
  <c r="O104" i="61"/>
  <c r="O22" i="61"/>
  <c r="O21" i="61"/>
  <c r="O20" i="61"/>
  <c r="O19" i="61"/>
  <c r="O24" i="61"/>
  <c r="C150" i="61"/>
  <c r="C152" i="61" s="1"/>
  <c r="O25" i="61"/>
  <c r="O13" i="61"/>
  <c r="O15" i="61"/>
  <c r="O32" i="61"/>
  <c r="O52" i="61"/>
  <c r="O59" i="61"/>
  <c r="O71" i="61"/>
  <c r="O87" i="61"/>
  <c r="O89" i="61"/>
  <c r="O91" i="61"/>
  <c r="O118" i="61"/>
  <c r="O124" i="61"/>
  <c r="O137" i="61"/>
  <c r="O31" i="61"/>
  <c r="N89" i="61"/>
  <c r="N90" i="61"/>
  <c r="N91" i="61"/>
  <c r="O12" i="61"/>
  <c r="N41" i="61"/>
  <c r="C168" i="62" l="1"/>
  <c r="C170" i="62"/>
  <c r="N138" i="61"/>
  <c r="C170" i="61"/>
  <c r="C168"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tc={81D171FE-1A00-40A4-951F-58FB4EF7133A}</author>
  </authors>
  <commentList>
    <comment ref="B161" authorId="0" shapeId="0" xr:uid="{81D171FE-1A00-40A4-951F-58FB4EF7133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tc={F13A394D-6555-4A92-AD05-308474F578DC}</author>
  </authors>
  <commentList>
    <comment ref="B163" authorId="0" shapeId="0" xr:uid="{F13A394D-6555-4A92-AD05-308474F578DC}">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tc={6F16D65C-1401-40BE-B86B-3787C88F708B}</author>
  </authors>
  <commentList>
    <comment ref="B163" authorId="0" shapeId="0" xr:uid="{6F16D65C-1401-40BE-B86B-3787C88F708B}">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tc={6BA732B7-48AE-4C68-A066-CD9D5A7EA284}</author>
  </authors>
  <commentList>
    <comment ref="B163" authorId="0" shapeId="0" xr:uid="{6BA732B7-48AE-4C68-A066-CD9D5A7EA28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tc={752D0C35-4BB7-4453-B8CB-62B010D5150A}</author>
  </authors>
  <commentList>
    <comment ref="B161" authorId="0" shapeId="0" xr:uid="{752D0C35-4BB7-4453-B8CB-62B010D5150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tc={D7C95661-12C3-404B-9587-86F8B4510582}</author>
  </authors>
  <commentList>
    <comment ref="B161" authorId="0" shapeId="0" xr:uid="{D7C95661-12C3-404B-9587-86F8B4510582}">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tc={9CAB6F63-1150-48C5-8E92-F692D91E36D8}</author>
  </authors>
  <commentList>
    <comment ref="B162" authorId="0" shapeId="0" xr:uid="{9CAB6F63-1150-48C5-8E92-F692D91E36D8}">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tc={A0EBCA25-9ACA-44A6-AA48-87C712E21A0E}</author>
  </authors>
  <commentList>
    <comment ref="B162" authorId="0" shapeId="0" xr:uid="{A0EBCA25-9ACA-44A6-AA48-87C712E21A0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tc={2594234E-9F9C-4B48-BF46-9F6392280C03}</author>
  </authors>
  <commentList>
    <comment ref="B163" authorId="0" shapeId="0" xr:uid="{2594234E-9F9C-4B48-BF46-9F6392280C03}">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tc={3F6E7E98-5BF9-49FC-A75D-385FF6D8ACEE}</author>
  </authors>
  <commentList>
    <comment ref="B163" authorId="0" shapeId="0" xr:uid="{3F6E7E98-5BF9-49FC-A75D-385FF6D8ACE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tc={4354BC8D-5291-492E-9AB4-77737FDEB50A}</author>
  </authors>
  <commentList>
    <comment ref="B163" authorId="0" shapeId="0" xr:uid="{4354BC8D-5291-492E-9AB4-77737FDEB50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tc={261E96EC-808A-4216-8621-3692E8726874}</author>
  </authors>
  <commentList>
    <comment ref="B163" authorId="0" shapeId="0" xr:uid="{261E96EC-808A-4216-8621-3692E872687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A NOMBRE DE PEDRO ZAYAS NO FUE COBRADO
</t>
      </text>
    </comment>
  </commentList>
</comments>
</file>

<file path=xl/sharedStrings.xml><?xml version="1.0" encoding="utf-8"?>
<sst xmlns="http://schemas.openxmlformats.org/spreadsheetml/2006/main" count="3269" uniqueCount="288">
  <si>
    <t>ASOCIACIÓN DEPORTIVA NACIONAL DE TIRO CON ARMAS DE CAZA</t>
  </si>
  <si>
    <t>EJECUCIÓN PRESUPUESTARIA</t>
  </si>
  <si>
    <t>(Cifras expresadas en quetzales)</t>
  </si>
  <si>
    <t>No.</t>
  </si>
  <si>
    <t xml:space="preserve">DESCRIPCIÓN </t>
  </si>
  <si>
    <t>Presupuesto</t>
  </si>
  <si>
    <t>Modificación I</t>
  </si>
  <si>
    <t>Modificación II</t>
  </si>
  <si>
    <t xml:space="preserve">Disponible  o </t>
  </si>
  <si>
    <t>Porcen-</t>
  </si>
  <si>
    <t>Renglón</t>
  </si>
  <si>
    <t>Autorizado</t>
  </si>
  <si>
    <t>Aumento</t>
  </si>
  <si>
    <t>Disminución</t>
  </si>
  <si>
    <t>Vigente</t>
  </si>
  <si>
    <t>Pend. Recibir</t>
  </si>
  <si>
    <t>taje</t>
  </si>
  <si>
    <t>11.9.90-01</t>
  </si>
  <si>
    <t>11.9.90-03</t>
  </si>
  <si>
    <t>11.9.90-04</t>
  </si>
  <si>
    <t>16.2.20-01</t>
  </si>
  <si>
    <t>Aporte CDAG Anual</t>
  </si>
  <si>
    <t>16.2.20-02</t>
  </si>
  <si>
    <t>16.2.20-03</t>
  </si>
  <si>
    <t>Aporte COG</t>
  </si>
  <si>
    <t>16.2.20-04</t>
  </si>
  <si>
    <t>Aporte Extraoridinario CDAG Juegos Nacionales</t>
  </si>
  <si>
    <t>11.9.90-02</t>
  </si>
  <si>
    <t>Impresión de boletaje</t>
  </si>
  <si>
    <t>16.2.20-05</t>
  </si>
  <si>
    <t>Aporte Extraordinario CDAG</t>
  </si>
  <si>
    <t>Aporte COG - SO</t>
  </si>
  <si>
    <t>TOTAL INGRESOS</t>
  </si>
  <si>
    <t>No. Ren.</t>
  </si>
  <si>
    <t>EGRESOS</t>
  </si>
  <si>
    <t>SERVICIOS  PERSONALES.</t>
  </si>
  <si>
    <t>011</t>
  </si>
  <si>
    <t>014</t>
  </si>
  <si>
    <t>015</t>
  </si>
  <si>
    <t>035</t>
  </si>
  <si>
    <t>Retribuciones a Destajo</t>
  </si>
  <si>
    <t>041</t>
  </si>
  <si>
    <t>051</t>
  </si>
  <si>
    <t>052</t>
  </si>
  <si>
    <t>071</t>
  </si>
  <si>
    <t>Aguinaldo</t>
  </si>
  <si>
    <t>072</t>
  </si>
  <si>
    <t>073</t>
  </si>
  <si>
    <t>Bono Vacacional</t>
  </si>
  <si>
    <t>SERVICIOS  NO  PERSONALES.</t>
  </si>
  <si>
    <t>Energía Eléctrica</t>
  </si>
  <si>
    <t>Telefonía</t>
  </si>
  <si>
    <t>Correos y Telégrafos</t>
  </si>
  <si>
    <t>Otros Viáticos y Gastos Conexos</t>
  </si>
  <si>
    <t>Fletes</t>
  </si>
  <si>
    <t>Almacenaje</t>
  </si>
  <si>
    <t>Derechos Bienes Intangibles</t>
  </si>
  <si>
    <t>Servicios de Capacitación</t>
  </si>
  <si>
    <t>Otros Estudios y Servicios</t>
  </si>
  <si>
    <t>Impuestos Derechos y Tasas</t>
  </si>
  <si>
    <t>MATERIALES Y SUMINISTROS.</t>
  </si>
  <si>
    <t>Alimentos para Personas</t>
  </si>
  <si>
    <t>Acabados Textiles</t>
  </si>
  <si>
    <t>Prendas de Vestir</t>
  </si>
  <si>
    <t>Papel de Escritorio</t>
  </si>
  <si>
    <t>Productos de Papel o Cartón</t>
  </si>
  <si>
    <t>Libros Revistas y Periódicos</t>
  </si>
  <si>
    <t>Artículos de Caucho</t>
  </si>
  <si>
    <t>Combustibles y Lubricantes</t>
  </si>
  <si>
    <t>Tintes, Pinturas y Colorantes</t>
  </si>
  <si>
    <t>Productos de Arcilla</t>
  </si>
  <si>
    <t>Cemento</t>
  </si>
  <si>
    <t>Estructuras Metálicas Acabadas</t>
  </si>
  <si>
    <t>Materiales y Equipos Diversos (Munic)</t>
  </si>
  <si>
    <t>Útiles de Oficina</t>
  </si>
  <si>
    <t>Útiles Deportivos y Recreativos</t>
  </si>
  <si>
    <t>Utiles de Cocina y Comedor</t>
  </si>
  <si>
    <t>Accesorios y Repuestos en General</t>
  </si>
  <si>
    <t>Otros Materiales y Suministros</t>
  </si>
  <si>
    <t>PROPIEDAD, PLANTA, EQUIPO E INTANGIBLES.</t>
  </si>
  <si>
    <t>323</t>
  </si>
  <si>
    <t>TRANSFERENCIAS CORRIENTES.</t>
  </si>
  <si>
    <t>Indemnizaciones al Personal</t>
  </si>
  <si>
    <t>RESUMEN</t>
  </si>
  <si>
    <t>Ejecución Presupuestaria</t>
  </si>
  <si>
    <t>Ingresos Percibidos</t>
  </si>
  <si>
    <t>Egresos Ejecutados</t>
  </si>
  <si>
    <t>Resultado del Ejercicio</t>
  </si>
  <si>
    <t>Rentas Consignadas</t>
  </si>
  <si>
    <t>PRESIDENTE</t>
  </si>
  <si>
    <t xml:space="preserve">TESORERO                       </t>
  </si>
  <si>
    <t>TOTAL EGRESOS</t>
  </si>
  <si>
    <t>111</t>
  </si>
  <si>
    <t>113</t>
  </si>
  <si>
    <t>114</t>
  </si>
  <si>
    <t>121</t>
  </si>
  <si>
    <t>122</t>
  </si>
  <si>
    <t>131</t>
  </si>
  <si>
    <t>135</t>
  </si>
  <si>
    <t>141</t>
  </si>
  <si>
    <t>142</t>
  </si>
  <si>
    <t>143</t>
  </si>
  <si>
    <t>158</t>
  </si>
  <si>
    <t>162</t>
  </si>
  <si>
    <t>164</t>
  </si>
  <si>
    <t>165</t>
  </si>
  <si>
    <t>168</t>
  </si>
  <si>
    <t>171</t>
  </si>
  <si>
    <t>174</t>
  </si>
  <si>
    <t>181</t>
  </si>
  <si>
    <t>183</t>
  </si>
  <si>
    <t>184</t>
  </si>
  <si>
    <t>185</t>
  </si>
  <si>
    <t>186</t>
  </si>
  <si>
    <t>187</t>
  </si>
  <si>
    <t>188</t>
  </si>
  <si>
    <t>189</t>
  </si>
  <si>
    <t>191</t>
  </si>
  <si>
    <t>194</t>
  </si>
  <si>
    <t>195</t>
  </si>
  <si>
    <t>196</t>
  </si>
  <si>
    <t>199</t>
  </si>
  <si>
    <t>211</t>
  </si>
  <si>
    <t>232</t>
  </si>
  <si>
    <t>233</t>
  </si>
  <si>
    <t>241</t>
  </si>
  <si>
    <t>243</t>
  </si>
  <si>
    <t>244</t>
  </si>
  <si>
    <t>245</t>
  </si>
  <si>
    <t>253</t>
  </si>
  <si>
    <t>254</t>
  </si>
  <si>
    <t>262</t>
  </si>
  <si>
    <t>266</t>
  </si>
  <si>
    <t>267</t>
  </si>
  <si>
    <t>268</t>
  </si>
  <si>
    <t>269</t>
  </si>
  <si>
    <t>271</t>
  </si>
  <si>
    <t>273</t>
  </si>
  <si>
    <t>283</t>
  </si>
  <si>
    <t>284</t>
  </si>
  <si>
    <t>285</t>
  </si>
  <si>
    <t>291</t>
  </si>
  <si>
    <t>292</t>
  </si>
  <si>
    <t>294</t>
  </si>
  <si>
    <t>296</t>
  </si>
  <si>
    <t>297</t>
  </si>
  <si>
    <t>298</t>
  </si>
  <si>
    <t>299</t>
  </si>
  <si>
    <t xml:space="preserve">Descuento Fianza de Fidelidad sueldos </t>
  </si>
  <si>
    <t>ISR Retenido Actividades Lucrativas</t>
  </si>
  <si>
    <t>ISR Retenido sobre rentas del trabajo</t>
  </si>
  <si>
    <t>IGSS Cuota Patronos, trabajadores  e Intecap por Pagar</t>
  </si>
  <si>
    <t>Servicios de Vigilancia</t>
  </si>
  <si>
    <t>Personal Permanente</t>
  </si>
  <si>
    <t>Complemento Calidad Profesional al Personal Permanente</t>
  </si>
  <si>
    <t>Complementos Específicos al Personal Permanente</t>
  </si>
  <si>
    <t>Servicios extraordinarios de personal permanente</t>
  </si>
  <si>
    <t>Aporte patronal al IGSS</t>
  </si>
  <si>
    <t>Aporte patronal al Intecap</t>
  </si>
  <si>
    <t>Bonificación Anual (Bono 14)</t>
  </si>
  <si>
    <t>Divulgación e Información</t>
  </si>
  <si>
    <t>Impresión, Encuadernación y Reproducción</t>
  </si>
  <si>
    <t>Viáticos en el Exterior</t>
  </si>
  <si>
    <t>Transporte de Personas</t>
  </si>
  <si>
    <t>Mantenimiento y Reparación de Equipo de Oficina</t>
  </si>
  <si>
    <t>Mantenimiento y Reparación de Equipos Educacionales y Recreativos</t>
  </si>
  <si>
    <t>Mantenimiento y Reparación de Medios de Transporte</t>
  </si>
  <si>
    <t>Mantenimiento y Reparación de Equipo de Cómputo</t>
  </si>
  <si>
    <t>Mantenimiento y Reparación de Edificios</t>
  </si>
  <si>
    <t>Mantenimiento y Reparación de Instalaciones</t>
  </si>
  <si>
    <t>Estudios, Invest. Proyectos Pre-Factibilidad y Factibilidad</t>
  </si>
  <si>
    <t>Servicios Jurídicos</t>
  </si>
  <si>
    <t>Servicios Económicos, Financieros, Contables y Auditoría</t>
  </si>
  <si>
    <t>Servicios de Informática y Sistemas Computarizados</t>
  </si>
  <si>
    <t>Servicios por Actuaciones Artísticas y Deportivas</t>
  </si>
  <si>
    <t>Servicios de Ingeniería, Arquitectura y Supervisión de Obras</t>
  </si>
  <si>
    <t>Primas y Gastos de Seguros y Fianzas</t>
  </si>
  <si>
    <t>Gastos Bancarios, Comisiones y Otros Gastos</t>
  </si>
  <si>
    <t>Servicios de Atención y Protocolo</t>
  </si>
  <si>
    <t>197</t>
  </si>
  <si>
    <t>Otros Servicios</t>
  </si>
  <si>
    <t>Otros Ingresos No Tributarios</t>
  </si>
  <si>
    <t>Cuota de afiliación</t>
  </si>
  <si>
    <t>Aporte donación de Socios para Cartuchos,Platillo y Otros</t>
  </si>
  <si>
    <t>Aporte donación de Jóvenes de Escuela de Vacaciones</t>
  </si>
  <si>
    <t>Rentas de la Propiedad</t>
  </si>
  <si>
    <t>15.1.30</t>
  </si>
  <si>
    <t>Disminución de Disponibilidades</t>
  </si>
  <si>
    <t>Saldo de Caja ASOTAC</t>
  </si>
  <si>
    <t>23.1.10-03</t>
  </si>
  <si>
    <t>23.1.10-01</t>
  </si>
  <si>
    <t>Saldo Caja Aporte Extra. CDAG</t>
  </si>
  <si>
    <t>Productos Agroforestales, Madera, Corcho y sus Manufacturas</t>
  </si>
  <si>
    <t>Piedra, Arcilla y Arena</t>
  </si>
  <si>
    <t>Otros Minerales</t>
  </si>
  <si>
    <t>Productos de Artes Gráficas</t>
  </si>
  <si>
    <t>Llantas y Neumáticos</t>
  </si>
  <si>
    <t>261</t>
  </si>
  <si>
    <t>Elementos y Compuestos Químicos</t>
  </si>
  <si>
    <t>Productos Medicinales y Farmacéuticos</t>
  </si>
  <si>
    <t>Productos Plásticos, Nylon, Vinil y PVC</t>
  </si>
  <si>
    <t>Otros Productos Químicos y Conexos</t>
  </si>
  <si>
    <t>Productos de Vidrio</t>
  </si>
  <si>
    <t>Productos de Loza y Porcelana</t>
  </si>
  <si>
    <t>Productos de Cemento, Pómez, Asbesto y Yeso</t>
  </si>
  <si>
    <t>Otros Productos de Minerales no Metálicos</t>
  </si>
  <si>
    <t>Productos Siderúrgicos</t>
  </si>
  <si>
    <t>Productos de Metal y sus Aleaciones</t>
  </si>
  <si>
    <t>Herramientas Menores</t>
  </si>
  <si>
    <t>Otros Productos Metálicos</t>
  </si>
  <si>
    <t>Productos Sanitarios, de Limpieza y de Uso Personal</t>
  </si>
  <si>
    <t>Materiales, Productos y Accesorios Eléctricos, Cableado Estructurado de Redes Informáticas y Telefónicas</t>
  </si>
  <si>
    <t>322</t>
  </si>
  <si>
    <t>Mobiliario y Equipo de Oficina</t>
  </si>
  <si>
    <t>Mobiliario y Equipo Médico-Sanitario y de Laboratorio</t>
  </si>
  <si>
    <t>324</t>
  </si>
  <si>
    <t>Equipo Educacional, Cultural y Recreativo (ESC</t>
  </si>
  <si>
    <t>326</t>
  </si>
  <si>
    <t>Equipo para Comunicaciones</t>
  </si>
  <si>
    <t>329</t>
  </si>
  <si>
    <t>Otras Maquinarias y Equipos</t>
  </si>
  <si>
    <t>332</t>
  </si>
  <si>
    <t>Construcciones de Bienes Nacionales de Uso no Común</t>
  </si>
  <si>
    <t>413</t>
  </si>
  <si>
    <t>415</t>
  </si>
  <si>
    <t>Vacaciones Pagadas por Retiro</t>
  </si>
  <si>
    <t>419</t>
  </si>
  <si>
    <t>Otras Transferencias a Personas Individuales</t>
  </si>
  <si>
    <t>472</t>
  </si>
  <si>
    <t>Transferencias a Organismos e Instituciones Internacionales</t>
  </si>
  <si>
    <t>MARCO ANTONIO GÓMEZ ESTRADA</t>
  </si>
  <si>
    <t>Aporte de Entidades Descentralizadas y Autónomas</t>
  </si>
  <si>
    <t>16</t>
  </si>
  <si>
    <t>TRANSFERENCIAS CORRIENTES</t>
  </si>
  <si>
    <t>16.2.20</t>
  </si>
  <si>
    <t>Por Depósitos (cuentas bancarias)</t>
  </si>
  <si>
    <t>Equipo de computación</t>
  </si>
  <si>
    <t>Servicios Médico - Sanitarios</t>
  </si>
  <si>
    <t>ELMER ARTURO VENTURA</t>
  </si>
  <si>
    <t xml:space="preserve">Mantenimiento y Reparación de Otras Maquinaria </t>
  </si>
  <si>
    <t>ING. JORGE AUGUSTO CONTRERAS ROLDÁN</t>
  </si>
  <si>
    <t>Modificación IV</t>
  </si>
  <si>
    <t>SALDO EN CAJA AL 31 DE DICIEMBRE DE 2020</t>
  </si>
  <si>
    <t>Reembolso a Comité Olimpico Fondos 2021</t>
  </si>
  <si>
    <t>EJECUCION</t>
  </si>
  <si>
    <t xml:space="preserve">Descuento Boleto de ornato </t>
  </si>
  <si>
    <t xml:space="preserve">                COORDINADOR ADMINISTRATIVO FINANCIERO</t>
  </si>
  <si>
    <t>O29</t>
  </si>
  <si>
    <t>Otras remuneraciones de Personal Temporal</t>
  </si>
  <si>
    <t>Arrendamiento de Edificios y locales</t>
  </si>
  <si>
    <t>AUMENTO I</t>
  </si>
  <si>
    <t>DIANA BEATRIZ AMELIACALDERON VAZQUEZ</t>
  </si>
  <si>
    <t>GERENTE</t>
  </si>
  <si>
    <t>IVA Facturas Especiales</t>
  </si>
  <si>
    <t>Descuento De mas planilla</t>
  </si>
  <si>
    <t>Saldo en Caja al 31 de Diciembre de 2022</t>
  </si>
  <si>
    <t>Rentas Consignadas Diciembre 2022</t>
  </si>
  <si>
    <t>Cheque Anulado 77850450 Febrero 2022</t>
  </si>
  <si>
    <t>DEL 01 DE ENERO AL 31 DE DICIEMBRE 2023</t>
  </si>
  <si>
    <t>SALDO EN CAJA AL 31 DE ENERO DE 2023</t>
  </si>
  <si>
    <t>SALDO EN CAJA AL 28 DE FEBRERO DE 2023</t>
  </si>
  <si>
    <t xml:space="preserve">Depositos pendientes de registrar </t>
  </si>
  <si>
    <t>SALDO EN CAJA AL 31 DE MARZO DE 2023</t>
  </si>
  <si>
    <t>SALDO EN CAJA AL 30 DE ABRIL DE 2023</t>
  </si>
  <si>
    <t>O23</t>
  </si>
  <si>
    <r>
      <t xml:space="preserve"> </t>
    </r>
    <r>
      <rPr>
        <sz val="14"/>
        <color theme="1"/>
        <rFont val="Calibri"/>
        <family val="2"/>
        <scheme val="minor"/>
      </rPr>
      <t>Interinatos por Licencias y Becas</t>
    </r>
  </si>
  <si>
    <t>SALDO EN CAJA AL 31 DE MAYO DE 2023</t>
  </si>
  <si>
    <t>SALDO EN CAJA AL 30 DE JUNIO DE 2023</t>
  </si>
  <si>
    <t>Cuenta por Liquidar</t>
  </si>
  <si>
    <t>SALDO EN CAJA AL 31 DE JULIO DE 2023</t>
  </si>
  <si>
    <t>SALDO EN CAJA AL 31 DE AGOSTO DE 2023</t>
  </si>
  <si>
    <t>DIANA BEATRIZ AMELIA CALDERON VAZQUEZ</t>
  </si>
  <si>
    <t xml:space="preserve"> ELMER ARTURO VENTURA</t>
  </si>
  <si>
    <t>SALDO EN CAJA AL 30 DE SEPTIEMBRE DE 2023</t>
  </si>
  <si>
    <t>SALDO EN CAJA AL 31 DE OCTUBRE DE 2023</t>
  </si>
  <si>
    <t xml:space="preserve"> pendientes de registrar </t>
  </si>
  <si>
    <t>SALDO EN CAJA AL 30 DE NOVIEMBRE DE 2023</t>
  </si>
  <si>
    <t>SALDO EN CAJA AL 31 DE DICIEMBRE DE 2023</t>
  </si>
  <si>
    <t xml:space="preserve"> pendientes de liquidar</t>
  </si>
  <si>
    <t>CRISTIAN DIEGO BERMUDEZ APEL</t>
  </si>
  <si>
    <t>JUAN RAMON SCHAEFFER SAMAYOA</t>
  </si>
  <si>
    <t xml:space="preserve">TESORERO ENTRANTE                       </t>
  </si>
  <si>
    <t>PRESIDENTE ENTRANTE</t>
  </si>
  <si>
    <t>PRESIDENTE SALIENTE</t>
  </si>
  <si>
    <t xml:space="preserve">TESORERO SALIENTE                       </t>
  </si>
  <si>
    <t>NOTA: LA PRESENTE EJECUCION LLEVA LAS FIRMAS DE LOS RESPONSABLES DE LOS DOS COMITES EJECUTIVOS DE LA ASOCIACION DEPORTIVA NACIONAL DE TIRO CON ARMAS DE CAZA PARA EL EJERCICIO FISCAL 2023 LA PRIMERA</t>
  </si>
  <si>
    <t>CORRESPONDE A LAS OPERACIONES DEL 1 DE ENERO AL 7 DE DICIEMBRE Y LAS SEGUNDAS DEL 8 AL 31 DE DICIEMBRE DE 2023 DEL EJERCICIO FISCAL 2023</t>
  </si>
  <si>
    <t>DEL 01 DE ENERO AL 30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</si>
</sst>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23"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12"/>
      <color theme="1"/>
      <name val="Arial"/>
      <family val="2"/>
    </font>
    <font>
      <b/>
      <sz val="11.5"/>
      <color theme="1"/>
      <name val="Arial"/>
      <family val="2"/>
    </font>
    <font>
      <sz val="11.5"/>
      <color theme="1"/>
      <name val="Arial"/>
      <family val="2"/>
    </font>
    <font>
      <b/>
      <sz val="12"/>
      <color rgb="FF0000CC"/>
      <name val="Arial"/>
      <family val="2"/>
    </font>
    <font>
      <sz val="12"/>
      <name val="Arial"/>
      <family val="2"/>
    </font>
    <font>
      <sz val="11.5"/>
      <name val="Arial"/>
      <family val="2"/>
    </font>
    <font>
      <sz val="9"/>
      <color theme="1"/>
      <name val="Arial"/>
      <family val="2"/>
    </font>
    <font>
      <sz val="10"/>
      <color theme="1"/>
      <name val="Arial"/>
      <family val="2"/>
    </font>
    <font>
      <u/>
      <sz val="12"/>
      <name val="Arial"/>
      <family val="2"/>
    </font>
    <font>
      <b/>
      <sz val="12"/>
      <name val="Arial"/>
      <family val="2"/>
    </font>
    <font>
      <b/>
      <sz val="11.5"/>
      <name val="Arial"/>
      <family val="2"/>
    </font>
    <font>
      <sz val="5"/>
      <color theme="1"/>
      <name val="Arial"/>
      <family val="2"/>
    </font>
    <font>
      <sz val="11"/>
      <name val="Arial"/>
      <family val="2"/>
    </font>
    <font>
      <sz val="11.5"/>
      <color theme="0"/>
      <name val="Arial"/>
      <family val="2"/>
    </font>
    <font>
      <sz val="11.5"/>
      <color rgb="FFFF0000"/>
      <name val="Arial"/>
      <family val="2"/>
    </font>
    <font>
      <sz val="12"/>
      <color rgb="FFFF0000"/>
      <name val="Arial"/>
      <family val="2"/>
    </font>
    <font>
      <sz val="10"/>
      <name val="Arial"/>
      <family val="2"/>
    </font>
    <font>
      <sz val="14"/>
      <color theme="1"/>
      <name val="Calibri"/>
      <family val="2"/>
      <scheme val="minor"/>
    </font>
    <font>
      <sz val="9"/>
      <name val="Arial"/>
      <family val="2"/>
    </font>
  </fonts>
  <fills count="2">
    <fill>
      <patternFill patternType="none"/>
    </fill>
    <fill>
      <patternFill patternType="gray125"/>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cellStyleXfs>
  <cellXfs count="94">
    <xf numFmtId="0" fontId="0" fillId="0" borderId="0" xfId="0"/>
    <xf numFmtId="0" fontId="3" fillId="0" borderId="2" xfId="0" applyFont="1" applyBorder="1" applyAlignment="1">
      <alignment horizontal="centerContinuous"/>
    </xf>
    <xf numFmtId="0" fontId="3" fillId="0" borderId="3" xfId="0" applyFont="1" applyBorder="1" applyAlignment="1">
      <alignment horizontal="centerContinuous"/>
    </xf>
    <xf numFmtId="43" fontId="3" fillId="0" borderId="4" xfId="0" applyNumberFormat="1" applyFont="1" applyBorder="1" applyAlignment="1">
      <alignment horizontal="centerContinuous"/>
    </xf>
    <xf numFmtId="43" fontId="4" fillId="0" borderId="0" xfId="0" applyNumberFormat="1" applyFont="1"/>
    <xf numFmtId="0" fontId="3" fillId="0" borderId="14" xfId="0" applyFont="1" applyBorder="1" applyAlignment="1">
      <alignment horizontal="centerContinuous"/>
    </xf>
    <xf numFmtId="0" fontId="3" fillId="0" borderId="0" xfId="0" applyFont="1" applyAlignment="1">
      <alignment horizontal="centerContinuous"/>
    </xf>
    <xf numFmtId="43" fontId="3" fillId="0" borderId="15" xfId="0" applyNumberFormat="1" applyFont="1" applyBorder="1" applyAlignment="1">
      <alignment horizontal="centerContinuous"/>
    </xf>
    <xf numFmtId="0" fontId="4" fillId="0" borderId="5" xfId="0" applyFont="1" applyBorder="1"/>
    <xf numFmtId="0" fontId="4" fillId="0" borderId="6" xfId="0" applyFont="1" applyBorder="1"/>
    <xf numFmtId="43" fontId="4" fillId="0" borderId="7" xfId="0" applyNumberFormat="1" applyFont="1" applyBorder="1"/>
    <xf numFmtId="0" fontId="4" fillId="0" borderId="0" xfId="0" applyFont="1"/>
    <xf numFmtId="43" fontId="10" fillId="0" borderId="0" xfId="0" applyNumberFormat="1" applyFont="1"/>
    <xf numFmtId="0" fontId="4" fillId="0" borderId="0" xfId="0" applyFont="1" applyAlignment="1">
      <alignment horizontal="left" indent="7"/>
    </xf>
    <xf numFmtId="164" fontId="11" fillId="0" borderId="0" xfId="1" applyFont="1" applyFill="1"/>
    <xf numFmtId="164" fontId="4" fillId="0" borderId="0" xfId="0" applyNumberFormat="1" applyFont="1"/>
    <xf numFmtId="0" fontId="3" fillId="0" borderId="0" xfId="0" applyFont="1"/>
    <xf numFmtId="0" fontId="3" fillId="0" borderId="8" xfId="0" applyFont="1" applyBorder="1" applyAlignment="1">
      <alignment horizontal="center"/>
    </xf>
    <xf numFmtId="0" fontId="3" fillId="0" borderId="9" xfId="0" applyFont="1" applyBorder="1" applyAlignment="1">
      <alignment horizontal="centerContinuous"/>
    </xf>
    <xf numFmtId="0" fontId="3" fillId="0" borderId="10" xfId="0" applyFont="1" applyBorder="1" applyAlignment="1">
      <alignment horizontal="centerContinuous"/>
    </xf>
    <xf numFmtId="0" fontId="3" fillId="0" borderId="17"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 fillId="0" borderId="11" xfId="0" applyFont="1" applyBorder="1"/>
    <xf numFmtId="164" fontId="5" fillId="0" borderId="11" xfId="1" applyFont="1" applyFill="1" applyBorder="1"/>
    <xf numFmtId="0" fontId="5" fillId="0" borderId="11" xfId="0" applyFont="1" applyBorder="1"/>
    <xf numFmtId="0" fontId="3" fillId="0" borderId="12" xfId="0" applyFont="1" applyBorder="1"/>
    <xf numFmtId="164" fontId="5" fillId="0" borderId="12" xfId="1" applyFont="1" applyFill="1" applyBorder="1"/>
    <xf numFmtId="9" fontId="5" fillId="0" borderId="12" xfId="2" applyFont="1" applyFill="1" applyBorder="1"/>
    <xf numFmtId="164" fontId="6" fillId="0" borderId="12" xfId="1" applyFont="1" applyFill="1" applyBorder="1"/>
    <xf numFmtId="0" fontId="4" fillId="0" borderId="12" xfId="0" applyFont="1" applyBorder="1"/>
    <xf numFmtId="0" fontId="4" fillId="0" borderId="13" xfId="0" applyFont="1" applyBorder="1"/>
    <xf numFmtId="164" fontId="6" fillId="0" borderId="13" xfId="1" applyFont="1" applyFill="1" applyBorder="1"/>
    <xf numFmtId="0" fontId="4" fillId="0" borderId="1" xfId="0" applyFont="1" applyBorder="1"/>
    <xf numFmtId="0" fontId="3" fillId="0" borderId="1" xfId="0" applyFont="1" applyBorder="1"/>
    <xf numFmtId="164" fontId="5" fillId="0" borderId="1" xfId="1" applyFont="1" applyFill="1" applyBorder="1"/>
    <xf numFmtId="0" fontId="4" fillId="0" borderId="11" xfId="0" applyFont="1" applyBorder="1"/>
    <xf numFmtId="164" fontId="6" fillId="0" borderId="11" xfId="1" applyFont="1" applyFill="1" applyBorder="1"/>
    <xf numFmtId="9" fontId="6" fillId="0" borderId="11" xfId="2" applyFont="1" applyFill="1" applyBorder="1"/>
    <xf numFmtId="9" fontId="6" fillId="0" borderId="12" xfId="2" applyFont="1" applyFill="1" applyBorder="1"/>
    <xf numFmtId="0" fontId="7" fillId="0" borderId="12" xfId="0" applyFont="1" applyBorder="1" applyAlignment="1">
      <alignment horizontal="left" indent="2"/>
    </xf>
    <xf numFmtId="0" fontId="7" fillId="0" borderId="12" xfId="0" applyFont="1" applyBorder="1"/>
    <xf numFmtId="0" fontId="4" fillId="0" borderId="12" xfId="0" applyFont="1" applyBorder="1" applyAlignment="1">
      <alignment horizontal="left" indent="2"/>
    </xf>
    <xf numFmtId="0" fontId="8" fillId="0" borderId="12" xfId="0" applyFont="1" applyBorder="1" applyAlignment="1">
      <alignment horizontal="left" indent="2"/>
    </xf>
    <xf numFmtId="0" fontId="8" fillId="0" borderId="12" xfId="0" applyFont="1" applyBorder="1"/>
    <xf numFmtId="164" fontId="9" fillId="0" borderId="12" xfId="1" applyFont="1" applyFill="1" applyBorder="1"/>
    <xf numFmtId="9" fontId="6" fillId="0" borderId="1" xfId="2" applyFont="1" applyFill="1" applyBorder="1"/>
    <xf numFmtId="0" fontId="4" fillId="0" borderId="0" xfId="0" applyFont="1" applyAlignment="1">
      <alignment horizontal="left" indent="2"/>
    </xf>
    <xf numFmtId="43" fontId="2" fillId="0" borderId="0" xfId="0" applyNumberFormat="1" applyFont="1"/>
    <xf numFmtId="0" fontId="8" fillId="0" borderId="2" xfId="0" applyFont="1" applyBorder="1"/>
    <xf numFmtId="0" fontId="8" fillId="0" borderId="3" xfId="0" applyFont="1" applyBorder="1"/>
    <xf numFmtId="164" fontId="8" fillId="0" borderId="4" xfId="0" applyNumberFormat="1" applyFont="1" applyBorder="1"/>
    <xf numFmtId="0" fontId="12" fillId="0" borderId="14" xfId="0" applyFont="1" applyBorder="1" applyAlignment="1">
      <alignment horizontal="left" indent="1"/>
    </xf>
    <xf numFmtId="0" fontId="8" fillId="0" borderId="0" xfId="0" applyFont="1"/>
    <xf numFmtId="164" fontId="8" fillId="0" borderId="15" xfId="0" applyNumberFormat="1" applyFont="1" applyBorder="1"/>
    <xf numFmtId="0" fontId="8" fillId="0" borderId="14" xfId="0" applyFont="1" applyBorder="1" applyAlignment="1">
      <alignment horizontal="left" indent="1"/>
    </xf>
    <xf numFmtId="0" fontId="13" fillId="0" borderId="14" xfId="0" applyFont="1" applyBorder="1" applyAlignment="1">
      <alignment horizontal="left" indent="1"/>
    </xf>
    <xf numFmtId="0" fontId="13" fillId="0" borderId="0" xfId="0" applyFont="1"/>
    <xf numFmtId="0" fontId="13" fillId="0" borderId="5" xfId="0" applyFont="1" applyBorder="1" applyAlignment="1">
      <alignment horizontal="left" indent="1"/>
    </xf>
    <xf numFmtId="0" fontId="13" fillId="0" borderId="6" xfId="0" applyFont="1" applyBorder="1"/>
    <xf numFmtId="164" fontId="4" fillId="0" borderId="0" xfId="1" applyFont="1" applyFill="1"/>
    <xf numFmtId="0" fontId="13" fillId="0" borderId="0" xfId="0" applyFont="1" applyAlignment="1">
      <alignment horizontal="centerContinuous"/>
    </xf>
    <xf numFmtId="0" fontId="13" fillId="0" borderId="1" xfId="0" applyFont="1" applyBorder="1" applyAlignment="1">
      <alignment horizontal="center"/>
    </xf>
    <xf numFmtId="164" fontId="9" fillId="0" borderId="11" xfId="1" applyFont="1" applyFill="1" applyBorder="1"/>
    <xf numFmtId="164" fontId="9" fillId="0" borderId="13" xfId="1" applyFont="1" applyFill="1" applyBorder="1"/>
    <xf numFmtId="164" fontId="14" fillId="0" borderId="1" xfId="1" applyFont="1" applyFill="1" applyBorder="1"/>
    <xf numFmtId="43" fontId="16" fillId="0" borderId="0" xfId="0" applyNumberFormat="1" applyFont="1"/>
    <xf numFmtId="43" fontId="8" fillId="0" borderId="0" xfId="0" applyNumberFormat="1" applyFont="1"/>
    <xf numFmtId="164" fontId="8" fillId="0" borderId="0" xfId="1" applyFont="1" applyFill="1"/>
    <xf numFmtId="164" fontId="14" fillId="0" borderId="7" xfId="1" applyFont="1" applyFill="1" applyBorder="1"/>
    <xf numFmtId="164" fontId="9" fillId="0" borderId="15" xfId="1" applyFont="1" applyFill="1" applyBorder="1"/>
    <xf numFmtId="164" fontId="9" fillId="0" borderId="16" xfId="1" applyFont="1" applyFill="1" applyBorder="1"/>
    <xf numFmtId="164" fontId="14" fillId="0" borderId="15" xfId="1" applyFont="1" applyFill="1" applyBorder="1"/>
    <xf numFmtId="164" fontId="14" fillId="0" borderId="16" xfId="1" applyFont="1" applyFill="1" applyBorder="1"/>
    <xf numFmtId="0" fontId="13" fillId="0" borderId="9" xfId="0" applyFont="1" applyBorder="1" applyAlignment="1">
      <alignment horizontal="center"/>
    </xf>
    <xf numFmtId="0" fontId="8" fillId="0" borderId="0" xfId="0" applyFont="1" applyAlignment="1">
      <alignment horizontal="left" indent="7"/>
    </xf>
    <xf numFmtId="0" fontId="4" fillId="0" borderId="3" xfId="0" applyFont="1" applyBorder="1"/>
    <xf numFmtId="164" fontId="15" fillId="0" borderId="3" xfId="0" applyNumberFormat="1" applyFont="1" applyBorder="1"/>
    <xf numFmtId="164" fontId="6" fillId="0" borderId="3" xfId="1" applyFont="1" applyFill="1" applyBorder="1"/>
    <xf numFmtId="164" fontId="17" fillId="0" borderId="12" xfId="1" applyFont="1" applyFill="1" applyBorder="1"/>
    <xf numFmtId="43" fontId="4" fillId="0" borderId="14" xfId="0" applyNumberFormat="1" applyFont="1" applyBorder="1"/>
    <xf numFmtId="164" fontId="9" fillId="0" borderId="14" xfId="1" applyFont="1" applyFill="1" applyBorder="1"/>
    <xf numFmtId="164" fontId="18" fillId="0" borderId="14" xfId="1" applyFont="1" applyFill="1" applyBorder="1"/>
    <xf numFmtId="43" fontId="19" fillId="0" borderId="0" xfId="0" applyNumberFormat="1" applyFont="1"/>
    <xf numFmtId="0" fontId="8" fillId="0" borderId="0" xfId="0" applyFont="1" applyAlignment="1">
      <alignment horizontal="left" indent="1"/>
    </xf>
    <xf numFmtId="0" fontId="2" fillId="0" borderId="0" xfId="0" applyFont="1"/>
    <xf numFmtId="0" fontId="2" fillId="0" borderId="0" xfId="0" applyFont="1" applyAlignment="1">
      <alignment horizontal="left" indent="7"/>
    </xf>
    <xf numFmtId="164" fontId="22" fillId="0" borderId="0" xfId="1" applyFont="1" applyFill="1"/>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colors>
    <mruColors>
      <color rgb="FF669900"/>
      <color rgb="FF666633"/>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Coordinacion Financiera" id="{1873D4E2-636C-4C0A-A67F-A8246D6DC751}" userId="4fbf5a871eb7e134" providerId="Windows Liv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1" dT="2023-02-04T17:32:33.11" personId="{1873D4E2-636C-4C0A-A67F-A8246D6DC751}" id="{81D171FE-1A00-40A4-951F-58FB4EF7133A}">
    <text xml:space="preserve">A NOMBRE DE PEDRO ZAYAS NO FUE COBRADO
</text>
  </threadedComment>
</ThreadedComments>
</file>

<file path=xl/threadedComments/threadedComment10.xml><?xml version="1.0" encoding="utf-8"?>
<ThreadedComments xmlns="http://schemas.microsoft.com/office/spreadsheetml/2018/threadedcomments" xmlns:x="http://schemas.openxmlformats.org/spreadsheetml/2006/main">
  <threadedComment ref="B163" dT="2023-02-04T17:32:33.11" personId="{1873D4E2-636C-4C0A-A67F-A8246D6DC751}" id="{F13A394D-6555-4A92-AD05-308474F578DC}">
    <text xml:space="preserve">A NOMBRE DE PEDRO ZAYAS NO FUE COBRADO
</text>
  </threadedComment>
</ThreadedComments>
</file>

<file path=xl/threadedComments/threadedComment11.xml><?xml version="1.0" encoding="utf-8"?>
<ThreadedComments xmlns="http://schemas.microsoft.com/office/spreadsheetml/2018/threadedcomments" xmlns:x="http://schemas.openxmlformats.org/spreadsheetml/2006/main">
  <threadedComment ref="B163" dT="2023-02-04T17:32:33.11" personId="{1873D4E2-636C-4C0A-A67F-A8246D6DC751}" id="{6F16D65C-1401-40BE-B86B-3787C88F708B}">
    <text xml:space="preserve">A NOMBRE DE PEDRO ZAYAS NO FUE COBRADO
</text>
  </threadedComment>
</ThreadedComments>
</file>

<file path=xl/threadedComments/threadedComment12.xml><?xml version="1.0" encoding="utf-8"?>
<ThreadedComments xmlns="http://schemas.microsoft.com/office/spreadsheetml/2018/threadedcomments" xmlns:x="http://schemas.openxmlformats.org/spreadsheetml/2006/main">
  <threadedComment ref="B163" dT="2023-02-04T17:32:33.11" personId="{1873D4E2-636C-4C0A-A67F-A8246D6DC751}" id="{6BA732B7-48AE-4C68-A066-CD9D5A7EA284}">
    <text xml:space="preserve">A NOMBRE DE PEDRO ZAYAS NO FUE COBRADO
</text>
  </threadedComment>
</ThreadedComments>
</file>

<file path=xl/threadedComments/threadedComment2.xml><?xml version="1.0" encoding="utf-8"?>
<ThreadedComments xmlns="http://schemas.microsoft.com/office/spreadsheetml/2018/threadedcomments" xmlns:x="http://schemas.openxmlformats.org/spreadsheetml/2006/main">
  <threadedComment ref="B161" dT="2023-02-04T17:32:33.11" personId="{1873D4E2-636C-4C0A-A67F-A8246D6DC751}" id="{752D0C35-4BB7-4453-B8CB-62B010D5150A}">
    <text xml:space="preserve">A NOMBRE DE PEDRO ZAYAS NO FUE COBRADO
</text>
  </threadedComment>
</ThreadedComments>
</file>

<file path=xl/threadedComments/threadedComment3.xml><?xml version="1.0" encoding="utf-8"?>
<ThreadedComments xmlns="http://schemas.microsoft.com/office/spreadsheetml/2018/threadedcomments" xmlns:x="http://schemas.openxmlformats.org/spreadsheetml/2006/main">
  <threadedComment ref="B161" dT="2023-02-04T17:32:33.11" personId="{1873D4E2-636C-4C0A-A67F-A8246D6DC751}" id="{D7C95661-12C3-404B-9587-86F8B4510582}">
    <text xml:space="preserve">A NOMBRE DE PEDRO ZAYAS NO FUE COBRADO
</text>
  </threadedComment>
</ThreadedComments>
</file>

<file path=xl/threadedComments/threadedComment4.xml><?xml version="1.0" encoding="utf-8"?>
<ThreadedComments xmlns="http://schemas.microsoft.com/office/spreadsheetml/2018/threadedcomments" xmlns:x="http://schemas.openxmlformats.org/spreadsheetml/2006/main">
  <threadedComment ref="B162" dT="2023-02-04T17:32:33.11" personId="{1873D4E2-636C-4C0A-A67F-A8246D6DC751}" id="{9CAB6F63-1150-48C5-8E92-F692D91E36D8}">
    <text xml:space="preserve">A NOMBRE DE PEDRO ZAYAS NO FUE COBRADO
</text>
  </threadedComment>
</ThreadedComments>
</file>

<file path=xl/threadedComments/threadedComment5.xml><?xml version="1.0" encoding="utf-8"?>
<ThreadedComments xmlns="http://schemas.microsoft.com/office/spreadsheetml/2018/threadedcomments" xmlns:x="http://schemas.openxmlformats.org/spreadsheetml/2006/main">
  <threadedComment ref="B162" dT="2023-02-04T17:32:33.11" personId="{1873D4E2-636C-4C0A-A67F-A8246D6DC751}" id="{A0EBCA25-9ACA-44A6-AA48-87C712E21A0E}">
    <text xml:space="preserve">A NOMBRE DE PEDRO ZAYAS NO FUE COBRADO
</text>
  </threadedComment>
</ThreadedComments>
</file>

<file path=xl/threadedComments/threadedComment6.xml><?xml version="1.0" encoding="utf-8"?>
<ThreadedComments xmlns="http://schemas.microsoft.com/office/spreadsheetml/2018/threadedcomments" xmlns:x="http://schemas.openxmlformats.org/spreadsheetml/2006/main">
  <threadedComment ref="B163" dT="2023-02-04T17:32:33.11" personId="{1873D4E2-636C-4C0A-A67F-A8246D6DC751}" id="{2594234E-9F9C-4B48-BF46-9F6392280C03}">
    <text xml:space="preserve">A NOMBRE DE PEDRO ZAYAS NO FUE COBRADO
</text>
  </threadedComment>
</ThreadedComments>
</file>

<file path=xl/threadedComments/threadedComment7.xml><?xml version="1.0" encoding="utf-8"?>
<ThreadedComments xmlns="http://schemas.microsoft.com/office/spreadsheetml/2018/threadedcomments" xmlns:x="http://schemas.openxmlformats.org/spreadsheetml/2006/main">
  <threadedComment ref="B163" dT="2023-02-04T17:32:33.11" personId="{1873D4E2-636C-4C0A-A67F-A8246D6DC751}" id="{3F6E7E98-5BF9-49FC-A75D-385FF6D8ACEE}">
    <text xml:space="preserve">A NOMBRE DE PEDRO ZAYAS NO FUE COBRADO
</text>
  </threadedComment>
</ThreadedComments>
</file>

<file path=xl/threadedComments/threadedComment8.xml><?xml version="1.0" encoding="utf-8"?>
<ThreadedComments xmlns="http://schemas.microsoft.com/office/spreadsheetml/2018/threadedcomments" xmlns:x="http://schemas.openxmlformats.org/spreadsheetml/2006/main">
  <threadedComment ref="B163" dT="2023-02-04T17:32:33.11" personId="{1873D4E2-636C-4C0A-A67F-A8246D6DC751}" id="{4354BC8D-5291-492E-9AB4-77737FDEB50A}">
    <text xml:space="preserve">A NOMBRE DE PEDRO ZAYAS NO FUE COBRADO
</text>
  </threadedComment>
</ThreadedComments>
</file>

<file path=xl/threadedComments/threadedComment9.xml><?xml version="1.0" encoding="utf-8"?>
<ThreadedComments xmlns="http://schemas.microsoft.com/office/spreadsheetml/2018/threadedcomments" xmlns:x="http://schemas.openxmlformats.org/spreadsheetml/2006/main">
  <threadedComment ref="B163" dT="2023-02-04T17:32:33.11" personId="{1873D4E2-636C-4C0A-A67F-A8246D6DC751}" id="{261E96EC-808A-4216-8621-3692E8726874}">
    <text xml:space="preserve">A NOMBRE DE PEDRO ZAYAS NO FUE COBRADO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D1A9-79A8-4B1D-B884-CD2BDCD10405}">
  <dimension ref="A1:O206"/>
  <sheetViews>
    <sheetView topLeftCell="A151" zoomScaleNormal="100" workbookViewId="0">
      <selection activeCell="C162" sqref="C162"/>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f>
        <v>12800</v>
      </c>
      <c r="N10" s="29">
        <f t="shared" ref="N10:N22" si="1">L10-M10</f>
        <v>24200</v>
      </c>
      <c r="O10" s="28">
        <f>M10/$M$26</f>
        <v>3.7754338887901112E-2</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c r="N12" s="29">
        <f t="shared" si="1"/>
        <v>30500</v>
      </c>
      <c r="O12" s="28">
        <f>M12/$M$26</f>
        <v>0</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v>1350.3</v>
      </c>
      <c r="N15" s="29">
        <f t="shared" si="1"/>
        <v>7449.7</v>
      </c>
      <c r="O15" s="28">
        <f>M15/$M$26</f>
        <v>3.9827877969010059E-3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f>
        <v>324883.58</v>
      </c>
      <c r="N18" s="29">
        <f t="shared" si="1"/>
        <v>3345065.94</v>
      </c>
      <c r="O18" s="28">
        <f>M18/$M$26</f>
        <v>0.95826287331519788</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c r="H20" s="29"/>
      <c r="I20" s="29"/>
      <c r="J20" s="45"/>
      <c r="K20" s="45"/>
      <c r="L20" s="29">
        <f t="shared" si="0"/>
        <v>2685493.4</v>
      </c>
      <c r="M20" s="29"/>
      <c r="N20" s="29">
        <f t="shared" si="1"/>
        <v>2685493.4</v>
      </c>
      <c r="O20" s="28">
        <f>M20/$M$26</f>
        <v>0</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c r="G25" s="29"/>
      <c r="H25" s="29"/>
      <c r="I25" s="29"/>
      <c r="J25" s="45"/>
      <c r="K25" s="45"/>
      <c r="L25" s="29">
        <f>C25+D25-E25+F25-G25+J25-K25</f>
        <v>1492732.86</v>
      </c>
      <c r="M25" s="29"/>
      <c r="N25" s="29">
        <f>L25-M25</f>
        <v>1492732.86</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0</v>
      </c>
      <c r="G26" s="35">
        <f t="shared" si="2"/>
        <v>0</v>
      </c>
      <c r="H26" s="35">
        <f t="shared" si="2"/>
        <v>0</v>
      </c>
      <c r="I26" s="35">
        <f t="shared" si="2"/>
        <v>0</v>
      </c>
      <c r="J26" s="35">
        <f t="shared" si="2"/>
        <v>0</v>
      </c>
      <c r="K26" s="35">
        <f t="shared" si="2"/>
        <v>0</v>
      </c>
      <c r="L26" s="35">
        <f t="shared" si="2"/>
        <v>8258523.6200000001</v>
      </c>
      <c r="M26" s="35">
        <f>SUM(M10:M25)</f>
        <v>339033.88</v>
      </c>
      <c r="N26" s="35">
        <f t="shared" si="2"/>
        <v>7919489.7400000002</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c r="H31" s="29"/>
      <c r="I31" s="29"/>
      <c r="J31" s="45"/>
      <c r="K31" s="45"/>
      <c r="L31" s="29">
        <f>C31+D31-E31+F31-G31+H31+J31-I31-K31</f>
        <v>814572.04</v>
      </c>
      <c r="M31" s="29">
        <f>62931.76</f>
        <v>62931.76</v>
      </c>
      <c r="N31" s="29">
        <f t="shared" ref="N31:N99" si="3">L31-M31</f>
        <v>751640.28</v>
      </c>
      <c r="O31" s="39">
        <f>M31/$M$138</f>
        <v>0.56796710016455509</v>
      </c>
    </row>
    <row r="32" spans="1:15" ht="15.95" customHeight="1" x14ac:dyDescent="0.2">
      <c r="A32" s="42" t="s">
        <v>37</v>
      </c>
      <c r="B32" s="30" t="s">
        <v>154</v>
      </c>
      <c r="C32" s="29">
        <v>13700</v>
      </c>
      <c r="D32" s="29"/>
      <c r="E32" s="29"/>
      <c r="F32" s="45"/>
      <c r="G32" s="45"/>
      <c r="H32" s="29"/>
      <c r="I32" s="29"/>
      <c r="J32" s="45"/>
      <c r="K32" s="45"/>
      <c r="L32" s="29">
        <f t="shared" ref="L32:L41" si="4">C32+D32-E32+F32-G32+H32+J32-K32</f>
        <v>13700</v>
      </c>
      <c r="M32" s="29">
        <f>1125</f>
        <v>1125</v>
      </c>
      <c r="N32" s="29">
        <f t="shared" si="3"/>
        <v>12575</v>
      </c>
      <c r="O32" s="39">
        <f>M32/$M$138</f>
        <v>1.0153267407190336E-2</v>
      </c>
    </row>
    <row r="33" spans="1:15" ht="15.95" customHeight="1" x14ac:dyDescent="0.2">
      <c r="A33" s="42" t="s">
        <v>38</v>
      </c>
      <c r="B33" s="30" t="s">
        <v>155</v>
      </c>
      <c r="C33" s="29">
        <v>311100</v>
      </c>
      <c r="D33" s="29"/>
      <c r="E33" s="29"/>
      <c r="F33" s="45"/>
      <c r="G33" s="45"/>
      <c r="H33" s="29"/>
      <c r="I33" s="29"/>
      <c r="J33" s="45"/>
      <c r="K33" s="45"/>
      <c r="L33" s="29">
        <f t="shared" si="4"/>
        <v>311100</v>
      </c>
      <c r="M33" s="29">
        <f>21149</f>
        <v>21149</v>
      </c>
      <c r="N33" s="29">
        <f t="shared" si="3"/>
        <v>289951</v>
      </c>
      <c r="O33" s="39">
        <f>M33/$M$138</f>
        <v>0.19087240212859416</v>
      </c>
    </row>
    <row r="34" spans="1:15" ht="15.95" customHeight="1" x14ac:dyDescent="0.2">
      <c r="A34" s="42" t="s">
        <v>247</v>
      </c>
      <c r="B34" s="30" t="s">
        <v>248</v>
      </c>
      <c r="C34" s="29">
        <v>154000</v>
      </c>
      <c r="D34" s="29"/>
      <c r="E34" s="29"/>
      <c r="F34" s="45"/>
      <c r="G34" s="45"/>
      <c r="H34" s="29"/>
      <c r="I34" s="29"/>
      <c r="J34" s="45"/>
      <c r="K34" s="45"/>
      <c r="L34" s="29">
        <f t="shared" si="4"/>
        <v>154000</v>
      </c>
      <c r="M34" s="29"/>
      <c r="N34" s="29">
        <f t="shared" si="3"/>
        <v>154000</v>
      </c>
      <c r="O34" s="39">
        <f>M34/$M$138</f>
        <v>0</v>
      </c>
    </row>
    <row r="35" spans="1:15" ht="15.95" customHeight="1" x14ac:dyDescent="0.2">
      <c r="A35" s="42" t="s">
        <v>39</v>
      </c>
      <c r="B35" s="30" t="s">
        <v>40</v>
      </c>
      <c r="C35" s="29">
        <v>17500</v>
      </c>
      <c r="D35" s="29"/>
      <c r="E35" s="29"/>
      <c r="F35" s="45"/>
      <c r="G35" s="45"/>
      <c r="H35" s="29"/>
      <c r="I35" s="29"/>
      <c r="J35" s="45"/>
      <c r="K35" s="45"/>
      <c r="L35" s="29">
        <f t="shared" si="4"/>
        <v>17500</v>
      </c>
      <c r="M35" s="29"/>
      <c r="N35" s="29">
        <f t="shared" si="3"/>
        <v>17500</v>
      </c>
      <c r="O35" s="39">
        <f t="shared" ref="O35:O41" si="5">M35/$M$138</f>
        <v>0</v>
      </c>
    </row>
    <row r="36" spans="1:15" ht="15.95" customHeight="1" x14ac:dyDescent="0.2">
      <c r="A36" s="42" t="s">
        <v>41</v>
      </c>
      <c r="B36" s="30" t="s">
        <v>156</v>
      </c>
      <c r="C36" s="29">
        <v>34510.800000000003</v>
      </c>
      <c r="D36" s="29"/>
      <c r="E36" s="29"/>
      <c r="F36" s="45"/>
      <c r="G36" s="45"/>
      <c r="H36" s="29"/>
      <c r="I36" s="29"/>
      <c r="J36" s="45"/>
      <c r="K36" s="45"/>
      <c r="L36" s="29">
        <f t="shared" si="4"/>
        <v>34510.800000000003</v>
      </c>
      <c r="M36" s="29"/>
      <c r="N36" s="29">
        <f t="shared" si="3"/>
        <v>34510.800000000003</v>
      </c>
      <c r="O36" s="39">
        <f t="shared" si="5"/>
        <v>0</v>
      </c>
    </row>
    <row r="37" spans="1:15" ht="15.95" customHeight="1" x14ac:dyDescent="0.2">
      <c r="A37" s="42" t="s">
        <v>42</v>
      </c>
      <c r="B37" s="30" t="s">
        <v>157</v>
      </c>
      <c r="C37" s="29">
        <v>87401.15</v>
      </c>
      <c r="D37" s="29"/>
      <c r="E37" s="29"/>
      <c r="F37" s="45"/>
      <c r="G37" s="45"/>
      <c r="H37" s="29"/>
      <c r="I37" s="29"/>
      <c r="J37" s="45"/>
      <c r="K37" s="45"/>
      <c r="L37" s="29">
        <f t="shared" si="4"/>
        <v>87401.15</v>
      </c>
      <c r="M37" s="29">
        <f>6536.21</f>
        <v>6536.21</v>
      </c>
      <c r="N37" s="29">
        <f t="shared" si="3"/>
        <v>80864.939999999988</v>
      </c>
      <c r="O37" s="39">
        <f t="shared" si="5"/>
        <v>5.8990122630712488E-2</v>
      </c>
    </row>
    <row r="38" spans="1:15" ht="15.95" customHeight="1" x14ac:dyDescent="0.2">
      <c r="A38" s="42" t="s">
        <v>43</v>
      </c>
      <c r="B38" s="30" t="s">
        <v>158</v>
      </c>
      <c r="C38" s="29">
        <v>8190.84</v>
      </c>
      <c r="D38" s="29"/>
      <c r="E38" s="29"/>
      <c r="F38" s="45"/>
      <c r="G38" s="45"/>
      <c r="H38" s="29"/>
      <c r="I38" s="29"/>
      <c r="J38" s="45"/>
      <c r="K38" s="45"/>
      <c r="L38" s="29">
        <f t="shared" si="4"/>
        <v>8190.84</v>
      </c>
      <c r="M38" s="29">
        <f>587.53</f>
        <v>587.53</v>
      </c>
      <c r="N38" s="29">
        <f t="shared" si="3"/>
        <v>7603.31</v>
      </c>
      <c r="O38" s="39">
        <f t="shared" si="5"/>
        <v>5.3025326219969223E-3</v>
      </c>
    </row>
    <row r="39" spans="1:15" ht="15.95" customHeight="1" x14ac:dyDescent="0.2">
      <c r="A39" s="42" t="s">
        <v>44</v>
      </c>
      <c r="B39" s="30" t="s">
        <v>45</v>
      </c>
      <c r="C39" s="29">
        <v>67581.009999999995</v>
      </c>
      <c r="D39" s="29"/>
      <c r="E39" s="29"/>
      <c r="F39" s="45"/>
      <c r="G39" s="45"/>
      <c r="H39" s="29"/>
      <c r="I39" s="29"/>
      <c r="J39" s="45"/>
      <c r="K39" s="45"/>
      <c r="L39" s="29">
        <f t="shared" si="4"/>
        <v>67581.009999999995</v>
      </c>
      <c r="M39" s="29"/>
      <c r="N39" s="29">
        <f t="shared" si="3"/>
        <v>67581.009999999995</v>
      </c>
      <c r="O39" s="39">
        <f t="shared" si="5"/>
        <v>0</v>
      </c>
    </row>
    <row r="40" spans="1:15" ht="15.95" customHeight="1" x14ac:dyDescent="0.2">
      <c r="A40" s="42" t="s">
        <v>46</v>
      </c>
      <c r="B40" s="30" t="s">
        <v>159</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47</v>
      </c>
      <c r="B41" s="30" t="s">
        <v>48</v>
      </c>
      <c r="C41" s="29">
        <v>4400</v>
      </c>
      <c r="D41" s="29"/>
      <c r="E41" s="29"/>
      <c r="F41" s="45"/>
      <c r="G41" s="45"/>
      <c r="H41" s="29"/>
      <c r="I41" s="29"/>
      <c r="J41" s="45"/>
      <c r="K41" s="45"/>
      <c r="L41" s="29">
        <f t="shared" si="4"/>
        <v>4400</v>
      </c>
      <c r="M41" s="29"/>
      <c r="N41" s="29">
        <f t="shared" si="3"/>
        <v>4400</v>
      </c>
      <c r="O41" s="39">
        <f t="shared" si="5"/>
        <v>0</v>
      </c>
    </row>
    <row r="42" spans="1:15" ht="15.95" customHeight="1" x14ac:dyDescent="0.2">
      <c r="A42" s="42"/>
      <c r="B42" s="30"/>
      <c r="C42" s="29"/>
      <c r="D42" s="29"/>
      <c r="E42" s="29"/>
      <c r="F42" s="45"/>
      <c r="G42" s="45"/>
      <c r="H42" s="29"/>
      <c r="I42" s="29"/>
      <c r="J42" s="45"/>
      <c r="K42" s="45"/>
      <c r="L42" s="29"/>
      <c r="M42" s="29"/>
      <c r="N42" s="29"/>
      <c r="O42" s="39"/>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5">
      <c r="A44" s="40">
        <v>1</v>
      </c>
      <c r="B44" s="41" t="s">
        <v>49</v>
      </c>
      <c r="C44" s="27"/>
      <c r="D44" s="29"/>
      <c r="E44" s="29"/>
      <c r="F44" s="45"/>
      <c r="G44" s="45"/>
      <c r="H44" s="29"/>
      <c r="I44" s="29"/>
      <c r="J44" s="45"/>
      <c r="K44" s="45"/>
      <c r="L44" s="29"/>
      <c r="M44" s="29"/>
      <c r="N44" s="29"/>
      <c r="O44" s="39"/>
    </row>
    <row r="45" spans="1:15" ht="15.95" customHeight="1" x14ac:dyDescent="0.2">
      <c r="A45" s="42" t="s">
        <v>92</v>
      </c>
      <c r="B45" s="30" t="s">
        <v>50</v>
      </c>
      <c r="C45" s="29">
        <v>13750</v>
      </c>
      <c r="D45" s="29"/>
      <c r="E45" s="29"/>
      <c r="F45" s="45"/>
      <c r="G45" s="45"/>
      <c r="H45" s="29"/>
      <c r="I45" s="29"/>
      <c r="J45" s="45"/>
      <c r="K45" s="45"/>
      <c r="L45" s="29">
        <f t="shared" ref="L45:L79" si="6">C45+D45-E45+F45-G45+H45+J45-K45</f>
        <v>13750</v>
      </c>
      <c r="M45" s="29">
        <v>530.61</v>
      </c>
      <c r="N45" s="29">
        <f t="shared" si="3"/>
        <v>13219.39</v>
      </c>
      <c r="O45" s="39">
        <f t="shared" ref="O45:O54" si="7">M45/$M$138</f>
        <v>4.7888224168260128E-3</v>
      </c>
    </row>
    <row r="46" spans="1:15" ht="15.95" customHeight="1" x14ac:dyDescent="0.2">
      <c r="A46" s="42" t="s">
        <v>93</v>
      </c>
      <c r="B46" s="30" t="s">
        <v>51</v>
      </c>
      <c r="C46" s="29">
        <v>26100</v>
      </c>
      <c r="D46" s="29"/>
      <c r="E46" s="29"/>
      <c r="F46" s="45"/>
      <c r="G46" s="45"/>
      <c r="H46" s="29"/>
      <c r="I46" s="29"/>
      <c r="J46" s="45"/>
      <c r="K46" s="45"/>
      <c r="L46" s="29">
        <f t="shared" si="6"/>
        <v>26100</v>
      </c>
      <c r="M46" s="29">
        <v>4693.76</v>
      </c>
      <c r="N46" s="29">
        <f t="shared" si="3"/>
        <v>21406.239999999998</v>
      </c>
      <c r="O46" s="39">
        <f t="shared" si="7"/>
        <v>4.2361778155709968E-2</v>
      </c>
    </row>
    <row r="47" spans="1:15" ht="15.95" customHeight="1" x14ac:dyDescent="0.2">
      <c r="A47" s="42" t="s">
        <v>94</v>
      </c>
      <c r="B47" s="30" t="s">
        <v>52</v>
      </c>
      <c r="C47" s="29">
        <v>2000</v>
      </c>
      <c r="D47" s="29"/>
      <c r="E47" s="29"/>
      <c r="F47" s="45"/>
      <c r="G47" s="45"/>
      <c r="H47" s="29"/>
      <c r="I47" s="29"/>
      <c r="J47" s="45"/>
      <c r="K47" s="45"/>
      <c r="L47" s="29">
        <f t="shared" si="6"/>
        <v>2000</v>
      </c>
      <c r="M47" s="29"/>
      <c r="N47" s="29">
        <f t="shared" si="3"/>
        <v>2000</v>
      </c>
      <c r="O47" s="39">
        <f t="shared" si="7"/>
        <v>0</v>
      </c>
    </row>
    <row r="48" spans="1:15" ht="15.95" customHeight="1" x14ac:dyDescent="0.2">
      <c r="A48" s="42" t="s">
        <v>95</v>
      </c>
      <c r="B48" s="30" t="s">
        <v>160</v>
      </c>
      <c r="C48" s="29">
        <v>8000</v>
      </c>
      <c r="D48" s="29"/>
      <c r="E48" s="29"/>
      <c r="F48" s="45"/>
      <c r="G48" s="45"/>
      <c r="H48" s="29"/>
      <c r="I48" s="29"/>
      <c r="J48" s="45"/>
      <c r="K48" s="45"/>
      <c r="L48" s="29">
        <f t="shared" si="6"/>
        <v>8000</v>
      </c>
      <c r="M48" s="29"/>
      <c r="N48" s="29">
        <f t="shared" si="3"/>
        <v>8000</v>
      </c>
      <c r="O48" s="39">
        <f t="shared" si="7"/>
        <v>0</v>
      </c>
    </row>
    <row r="49" spans="1:15" ht="15.95" customHeight="1" x14ac:dyDescent="0.2">
      <c r="A49" s="42" t="s">
        <v>96</v>
      </c>
      <c r="B49" s="30" t="s">
        <v>161</v>
      </c>
      <c r="C49" s="29">
        <v>14250</v>
      </c>
      <c r="D49" s="29"/>
      <c r="E49" s="29"/>
      <c r="F49" s="45"/>
      <c r="G49" s="45"/>
      <c r="H49" s="29"/>
      <c r="I49" s="29"/>
      <c r="J49" s="45"/>
      <c r="K49" s="45"/>
      <c r="L49" s="29">
        <f t="shared" si="6"/>
        <v>14250</v>
      </c>
      <c r="M49" s="29">
        <v>18.899999999999999</v>
      </c>
      <c r="N49" s="29">
        <f t="shared" si="3"/>
        <v>14231.1</v>
      </c>
      <c r="O49" s="39">
        <f t="shared" si="7"/>
        <v>1.7057489244079764E-4</v>
      </c>
    </row>
    <row r="50" spans="1:15" ht="15.95" customHeight="1" x14ac:dyDescent="0.2">
      <c r="A50" s="42" t="s">
        <v>97</v>
      </c>
      <c r="B50" s="30" t="s">
        <v>162</v>
      </c>
      <c r="C50" s="29">
        <v>673088.47</v>
      </c>
      <c r="D50" s="29"/>
      <c r="E50" s="29"/>
      <c r="F50" s="45"/>
      <c r="G50" s="45"/>
      <c r="H50" s="29"/>
      <c r="I50" s="29"/>
      <c r="J50" s="45"/>
      <c r="K50" s="45"/>
      <c r="L50" s="29">
        <f t="shared" si="6"/>
        <v>673088.47</v>
      </c>
      <c r="M50" s="29"/>
      <c r="N50" s="29">
        <f t="shared" si="3"/>
        <v>673088.47</v>
      </c>
      <c r="O50" s="39">
        <f t="shared" si="7"/>
        <v>0</v>
      </c>
    </row>
    <row r="51" spans="1:15" ht="15.95" customHeight="1" x14ac:dyDescent="0.2">
      <c r="A51" s="42" t="s">
        <v>98</v>
      </c>
      <c r="B51" s="30" t="s">
        <v>53</v>
      </c>
      <c r="C51" s="29">
        <v>563742.69999999995</v>
      </c>
      <c r="D51" s="29"/>
      <c r="E51" s="29"/>
      <c r="F51" s="45"/>
      <c r="G51" s="45"/>
      <c r="H51" s="29"/>
      <c r="I51" s="29"/>
      <c r="J51" s="45"/>
      <c r="K51" s="45"/>
      <c r="L51" s="29">
        <f t="shared" si="6"/>
        <v>563742.69999999995</v>
      </c>
      <c r="M51" s="29"/>
      <c r="N51" s="29">
        <f t="shared" si="3"/>
        <v>563742.69999999995</v>
      </c>
      <c r="O51" s="39">
        <f t="shared" si="7"/>
        <v>0</v>
      </c>
    </row>
    <row r="52" spans="1:15" ht="15.95" customHeight="1" x14ac:dyDescent="0.2">
      <c r="A52" s="42" t="s">
        <v>99</v>
      </c>
      <c r="B52" s="30" t="s">
        <v>163</v>
      </c>
      <c r="C52" s="29">
        <v>500985.37</v>
      </c>
      <c r="D52" s="29"/>
      <c r="E52" s="29"/>
      <c r="F52" s="45"/>
      <c r="G52" s="45"/>
      <c r="H52" s="29"/>
      <c r="I52" s="29"/>
      <c r="J52" s="45"/>
      <c r="K52" s="45"/>
      <c r="L52" s="29">
        <f t="shared" si="6"/>
        <v>500985.37</v>
      </c>
      <c r="M52" s="29"/>
      <c r="N52" s="29">
        <f t="shared" si="3"/>
        <v>500985.37</v>
      </c>
      <c r="O52" s="39">
        <f t="shared" si="7"/>
        <v>0</v>
      </c>
    </row>
    <row r="53" spans="1:15" ht="15.95" customHeight="1" x14ac:dyDescent="0.2">
      <c r="A53" s="42" t="s">
        <v>100</v>
      </c>
      <c r="B53" s="30" t="s">
        <v>54</v>
      </c>
      <c r="C53" s="29">
        <v>225000</v>
      </c>
      <c r="D53" s="29"/>
      <c r="E53" s="29"/>
      <c r="F53" s="45"/>
      <c r="G53" s="45"/>
      <c r="H53" s="29"/>
      <c r="I53" s="29"/>
      <c r="J53" s="45"/>
      <c r="K53" s="45"/>
      <c r="L53" s="29">
        <f>C53+D53-E53+F53-G53+H53+J53-I53-K53</f>
        <v>225000</v>
      </c>
      <c r="M53" s="29"/>
      <c r="N53" s="29">
        <f t="shared" si="3"/>
        <v>225000</v>
      </c>
      <c r="O53" s="39">
        <f t="shared" si="7"/>
        <v>0</v>
      </c>
    </row>
    <row r="54" spans="1:15" ht="15.95" customHeight="1" x14ac:dyDescent="0.2">
      <c r="A54" s="42" t="s">
        <v>101</v>
      </c>
      <c r="B54" s="30" t="s">
        <v>55</v>
      </c>
      <c r="C54" s="29">
        <v>75000</v>
      </c>
      <c r="D54" s="29"/>
      <c r="E54" s="29"/>
      <c r="F54" s="45"/>
      <c r="G54" s="45"/>
      <c r="H54" s="29"/>
      <c r="I54" s="29"/>
      <c r="J54" s="45"/>
      <c r="K54" s="45"/>
      <c r="L54" s="29">
        <f>C54+D54-E54+F54-G54+H54+J54-I54-K54</f>
        <v>75000</v>
      </c>
      <c r="M54" s="29"/>
      <c r="N54" s="29">
        <f t="shared" si="3"/>
        <v>75000</v>
      </c>
      <c r="O54" s="39">
        <f t="shared" si="7"/>
        <v>0</v>
      </c>
    </row>
    <row r="55" spans="1:15" ht="15.95" customHeight="1" x14ac:dyDescent="0.2">
      <c r="A55" s="42">
        <v>151</v>
      </c>
      <c r="B55" s="30" t="s">
        <v>249</v>
      </c>
      <c r="C55" s="29">
        <v>90000</v>
      </c>
      <c r="D55" s="29"/>
      <c r="E55" s="29"/>
      <c r="F55" s="45"/>
      <c r="G55" s="45"/>
      <c r="H55" s="29"/>
      <c r="I55" s="29"/>
      <c r="J55" s="45"/>
      <c r="K55" s="45"/>
      <c r="L55" s="29">
        <f t="shared" si="6"/>
        <v>90000</v>
      </c>
      <c r="M55" s="29"/>
      <c r="N55" s="29">
        <f t="shared" si="3"/>
        <v>90000</v>
      </c>
      <c r="O55" s="39"/>
    </row>
    <row r="56" spans="1:15" ht="15.95" customHeight="1" x14ac:dyDescent="0.2">
      <c r="A56" s="42" t="s">
        <v>102</v>
      </c>
      <c r="B56" s="30" t="s">
        <v>56</v>
      </c>
      <c r="C56" s="29">
        <v>4400</v>
      </c>
      <c r="D56" s="29"/>
      <c r="E56" s="29"/>
      <c r="F56" s="45"/>
      <c r="G56" s="45"/>
      <c r="H56" s="29"/>
      <c r="I56" s="29"/>
      <c r="J56" s="45"/>
      <c r="K56" s="45"/>
      <c r="L56" s="29">
        <f t="shared" si="6"/>
        <v>4400</v>
      </c>
      <c r="M56" s="29"/>
      <c r="N56" s="29">
        <f t="shared" si="3"/>
        <v>4400</v>
      </c>
      <c r="O56" s="39">
        <f t="shared" ref="O56:O61" si="8">M56/$M$138</f>
        <v>0</v>
      </c>
    </row>
    <row r="57" spans="1:15" ht="15.95" customHeight="1" x14ac:dyDescent="0.2">
      <c r="A57" s="42" t="s">
        <v>103</v>
      </c>
      <c r="B57" s="30" t="s">
        <v>164</v>
      </c>
      <c r="C57" s="29">
        <v>3004.32</v>
      </c>
      <c r="D57" s="29"/>
      <c r="E57" s="29"/>
      <c r="F57" s="45"/>
      <c r="G57" s="45"/>
      <c r="H57" s="29"/>
      <c r="I57" s="29"/>
      <c r="J57" s="45"/>
      <c r="K57" s="45"/>
      <c r="L57" s="29">
        <f t="shared" si="6"/>
        <v>3004.32</v>
      </c>
      <c r="M57" s="29"/>
      <c r="N57" s="29">
        <f t="shared" si="3"/>
        <v>3004.32</v>
      </c>
      <c r="O57" s="39">
        <f t="shared" si="8"/>
        <v>0</v>
      </c>
    </row>
    <row r="58" spans="1:15" ht="15.95" customHeight="1" x14ac:dyDescent="0.2">
      <c r="A58" s="42" t="s">
        <v>104</v>
      </c>
      <c r="B58" s="30" t="s">
        <v>165</v>
      </c>
      <c r="C58" s="29">
        <v>7750</v>
      </c>
      <c r="D58" s="29"/>
      <c r="E58" s="29"/>
      <c r="F58" s="45"/>
      <c r="G58" s="45"/>
      <c r="H58" s="29"/>
      <c r="I58" s="29"/>
      <c r="J58" s="45"/>
      <c r="K58" s="45"/>
      <c r="L58" s="29">
        <f t="shared" si="6"/>
        <v>7750</v>
      </c>
      <c r="M58" s="29"/>
      <c r="N58" s="29">
        <f t="shared" si="3"/>
        <v>7750</v>
      </c>
      <c r="O58" s="39">
        <f t="shared" si="8"/>
        <v>0</v>
      </c>
    </row>
    <row r="59" spans="1:15" ht="15.95" customHeight="1" x14ac:dyDescent="0.2">
      <c r="A59" s="42" t="s">
        <v>105</v>
      </c>
      <c r="B59" s="30" t="s">
        <v>166</v>
      </c>
      <c r="C59" s="29">
        <v>7000</v>
      </c>
      <c r="D59" s="29"/>
      <c r="E59" s="29"/>
      <c r="F59" s="45"/>
      <c r="G59" s="45"/>
      <c r="H59" s="29"/>
      <c r="I59" s="29"/>
      <c r="J59" s="45"/>
      <c r="K59" s="45"/>
      <c r="L59" s="29">
        <f t="shared" si="6"/>
        <v>7000</v>
      </c>
      <c r="M59" s="29"/>
      <c r="N59" s="29">
        <f t="shared" si="3"/>
        <v>7000</v>
      </c>
      <c r="O59" s="39">
        <f t="shared" si="8"/>
        <v>0</v>
      </c>
    </row>
    <row r="60" spans="1:15" ht="15.95" customHeight="1" x14ac:dyDescent="0.2">
      <c r="A60" s="42" t="s">
        <v>106</v>
      </c>
      <c r="B60" s="30" t="s">
        <v>167</v>
      </c>
      <c r="C60" s="29">
        <v>14000</v>
      </c>
      <c r="D60" s="29"/>
      <c r="E60" s="29"/>
      <c r="F60" s="45"/>
      <c r="G60" s="45"/>
      <c r="H60" s="29"/>
      <c r="I60" s="29"/>
      <c r="J60" s="45"/>
      <c r="K60" s="45"/>
      <c r="L60" s="29">
        <f t="shared" si="6"/>
        <v>14000</v>
      </c>
      <c r="M60" s="29"/>
      <c r="N60" s="29">
        <f t="shared" si="3"/>
        <v>14000</v>
      </c>
      <c r="O60" s="39">
        <f t="shared" si="8"/>
        <v>0</v>
      </c>
    </row>
    <row r="61" spans="1:15" ht="15.95" hidden="1" customHeight="1" x14ac:dyDescent="0.2">
      <c r="A61" s="42" t="s">
        <v>107</v>
      </c>
      <c r="B61" s="30" t="s">
        <v>168</v>
      </c>
      <c r="C61" s="29">
        <v>0</v>
      </c>
      <c r="D61" s="29"/>
      <c r="E61" s="29"/>
      <c r="F61" s="45"/>
      <c r="G61" s="45"/>
      <c r="H61" s="29"/>
      <c r="I61" s="29"/>
      <c r="J61" s="45"/>
      <c r="K61" s="45"/>
      <c r="L61" s="29">
        <f t="shared" si="6"/>
        <v>0</v>
      </c>
      <c r="M61" s="29"/>
      <c r="N61" s="29">
        <f t="shared" si="3"/>
        <v>0</v>
      </c>
      <c r="O61" s="39">
        <f t="shared" si="8"/>
        <v>0</v>
      </c>
    </row>
    <row r="62" spans="1:15" ht="15.95" customHeight="1" x14ac:dyDescent="0.2">
      <c r="A62" s="42">
        <v>169</v>
      </c>
      <c r="B62" s="30" t="s">
        <v>239</v>
      </c>
      <c r="C62" s="29">
        <v>15000</v>
      </c>
      <c r="D62" s="29"/>
      <c r="E62" s="29"/>
      <c r="F62" s="45"/>
      <c r="G62" s="45"/>
      <c r="H62" s="29"/>
      <c r="I62" s="29"/>
      <c r="J62" s="45"/>
      <c r="K62" s="45"/>
      <c r="L62" s="29">
        <f t="shared" si="6"/>
        <v>15000</v>
      </c>
      <c r="M62" s="29"/>
      <c r="N62" s="29">
        <f t="shared" si="3"/>
        <v>15000</v>
      </c>
      <c r="O62" s="39"/>
    </row>
    <row r="63" spans="1:15" ht="15.95" customHeight="1" x14ac:dyDescent="0.2">
      <c r="A63" s="42">
        <v>171</v>
      </c>
      <c r="B63" s="30" t="s">
        <v>168</v>
      </c>
      <c r="C63" s="29">
        <v>115000</v>
      </c>
      <c r="D63" s="29"/>
      <c r="E63" s="29"/>
      <c r="F63" s="45"/>
      <c r="G63" s="45"/>
      <c r="H63" s="29"/>
      <c r="I63" s="29"/>
      <c r="J63" s="45"/>
      <c r="K63" s="45"/>
      <c r="L63" s="29">
        <f>C63+D63-E63+F63-G63+H63+J63-I63-K63</f>
        <v>115000</v>
      </c>
      <c r="M63" s="29"/>
      <c r="N63" s="29">
        <f t="shared" si="3"/>
        <v>115000</v>
      </c>
      <c r="O63" s="39"/>
    </row>
    <row r="64" spans="1:15" ht="15.95" customHeight="1" x14ac:dyDescent="0.2">
      <c r="A64" s="42" t="s">
        <v>108</v>
      </c>
      <c r="B64" s="30" t="s">
        <v>169</v>
      </c>
      <c r="C64" s="29">
        <v>30750</v>
      </c>
      <c r="D64" s="29"/>
      <c r="E64" s="29"/>
      <c r="F64" s="45"/>
      <c r="G64" s="45"/>
      <c r="H64" s="29"/>
      <c r="I64" s="29"/>
      <c r="J64" s="45"/>
      <c r="K64" s="45"/>
      <c r="L64" s="29">
        <f t="shared" si="6"/>
        <v>30750</v>
      </c>
      <c r="M64" s="29"/>
      <c r="N64" s="29">
        <f t="shared" si="3"/>
        <v>30750</v>
      </c>
      <c r="O64" s="39">
        <f t="shared" ref="O64:O79" si="9">M64/$M$138</f>
        <v>0</v>
      </c>
    </row>
    <row r="65" spans="1:15" ht="15.95" customHeight="1" x14ac:dyDescent="0.2">
      <c r="A65" s="42" t="s">
        <v>109</v>
      </c>
      <c r="B65" s="30" t="s">
        <v>170</v>
      </c>
      <c r="C65" s="29">
        <v>260706.83</v>
      </c>
      <c r="D65" s="29"/>
      <c r="E65" s="29"/>
      <c r="F65" s="45"/>
      <c r="G65" s="45"/>
      <c r="H65" s="29"/>
      <c r="I65" s="29"/>
      <c r="J65" s="45"/>
      <c r="K65" s="45"/>
      <c r="L65" s="29">
        <f t="shared" si="6"/>
        <v>260706.83</v>
      </c>
      <c r="M65" s="29"/>
      <c r="N65" s="29">
        <f t="shared" si="3"/>
        <v>260706.83</v>
      </c>
      <c r="O65" s="39">
        <f t="shared" si="9"/>
        <v>0</v>
      </c>
    </row>
    <row r="66" spans="1:15" ht="15.95" customHeight="1" x14ac:dyDescent="0.2">
      <c r="A66" s="42">
        <v>182</v>
      </c>
      <c r="B66" s="30" t="s">
        <v>237</v>
      </c>
      <c r="C66" s="29">
        <v>10000</v>
      </c>
      <c r="D66" s="29"/>
      <c r="E66" s="29"/>
      <c r="F66" s="45"/>
      <c r="G66" s="45"/>
      <c r="H66" s="29"/>
      <c r="I66" s="29"/>
      <c r="J66" s="45"/>
      <c r="K66" s="45"/>
      <c r="L66" s="29">
        <f t="shared" si="6"/>
        <v>10000</v>
      </c>
      <c r="M66" s="29"/>
      <c r="N66" s="29">
        <f t="shared" si="3"/>
        <v>10000</v>
      </c>
      <c r="O66" s="39">
        <f t="shared" si="9"/>
        <v>0</v>
      </c>
    </row>
    <row r="67" spans="1:15" ht="15.95" customHeight="1" x14ac:dyDescent="0.2">
      <c r="A67" s="42" t="s">
        <v>110</v>
      </c>
      <c r="B67" s="30" t="s">
        <v>171</v>
      </c>
      <c r="C67" s="29">
        <v>54000</v>
      </c>
      <c r="D67" s="29"/>
      <c r="E67" s="29"/>
      <c r="F67" s="45"/>
      <c r="G67" s="45"/>
      <c r="H67" s="29"/>
      <c r="I67" s="29"/>
      <c r="J67" s="45"/>
      <c r="K67" s="45"/>
      <c r="L67" s="29">
        <f t="shared" si="6"/>
        <v>54000</v>
      </c>
      <c r="M67" s="29">
        <v>4500</v>
      </c>
      <c r="N67" s="29">
        <f t="shared" si="3"/>
        <v>49500</v>
      </c>
      <c r="O67" s="39">
        <f t="shared" si="9"/>
        <v>4.0613069628761343E-2</v>
      </c>
    </row>
    <row r="68" spans="1:15" ht="15.95" customHeight="1" x14ac:dyDescent="0.2">
      <c r="A68" s="42" t="s">
        <v>111</v>
      </c>
      <c r="B68" s="30" t="s">
        <v>172</v>
      </c>
      <c r="C68" s="29">
        <v>54000</v>
      </c>
      <c r="D68" s="29"/>
      <c r="E68" s="29"/>
      <c r="F68" s="45"/>
      <c r="G68" s="45"/>
      <c r="H68" s="29"/>
      <c r="I68" s="29"/>
      <c r="J68" s="45"/>
      <c r="K68" s="45"/>
      <c r="L68" s="29">
        <f t="shared" si="6"/>
        <v>54000</v>
      </c>
      <c r="M68" s="29">
        <v>4500</v>
      </c>
      <c r="N68" s="29">
        <f t="shared" si="3"/>
        <v>49500</v>
      </c>
      <c r="O68" s="39">
        <f t="shared" si="9"/>
        <v>4.0613069628761343E-2</v>
      </c>
    </row>
    <row r="69" spans="1:15" ht="15.95" customHeight="1" x14ac:dyDescent="0.2">
      <c r="A69" s="42" t="s">
        <v>112</v>
      </c>
      <c r="B69" s="30" t="s">
        <v>57</v>
      </c>
      <c r="C69" s="29">
        <v>7500</v>
      </c>
      <c r="D69" s="29"/>
      <c r="E69" s="29"/>
      <c r="F69" s="45"/>
      <c r="G69" s="45"/>
      <c r="H69" s="29"/>
      <c r="I69" s="29"/>
      <c r="J69" s="45"/>
      <c r="K69" s="45"/>
      <c r="L69" s="29">
        <f t="shared" si="6"/>
        <v>7500</v>
      </c>
      <c r="M69" s="29"/>
      <c r="N69" s="29">
        <f t="shared" si="3"/>
        <v>7500</v>
      </c>
      <c r="O69" s="39">
        <f t="shared" si="9"/>
        <v>0</v>
      </c>
    </row>
    <row r="70" spans="1:15" ht="15.95" customHeight="1" x14ac:dyDescent="0.2">
      <c r="A70" s="42" t="s">
        <v>113</v>
      </c>
      <c r="B70" s="30" t="s">
        <v>173</v>
      </c>
      <c r="C70" s="29">
        <v>24540</v>
      </c>
      <c r="D70" s="29"/>
      <c r="E70" s="29"/>
      <c r="F70" s="45"/>
      <c r="G70" s="45"/>
      <c r="H70" s="29"/>
      <c r="I70" s="29"/>
      <c r="J70" s="45"/>
      <c r="K70" s="45"/>
      <c r="L70" s="29">
        <f t="shared" si="6"/>
        <v>24540</v>
      </c>
      <c r="M70" s="29"/>
      <c r="N70" s="29">
        <f t="shared" si="3"/>
        <v>24540</v>
      </c>
      <c r="O70" s="39">
        <f t="shared" si="9"/>
        <v>0</v>
      </c>
    </row>
    <row r="71" spans="1:15" ht="15.95" customHeight="1" x14ac:dyDescent="0.2">
      <c r="A71" s="42" t="s">
        <v>114</v>
      </c>
      <c r="B71" s="30" t="s">
        <v>174</v>
      </c>
      <c r="C71" s="29">
        <v>863300</v>
      </c>
      <c r="D71" s="29"/>
      <c r="E71" s="29"/>
      <c r="F71" s="45"/>
      <c r="G71" s="45"/>
      <c r="H71" s="29"/>
      <c r="I71" s="29"/>
      <c r="J71" s="45"/>
      <c r="K71" s="45"/>
      <c r="L71" s="29">
        <f t="shared" si="6"/>
        <v>863300</v>
      </c>
      <c r="M71" s="29"/>
      <c r="N71" s="29">
        <f t="shared" si="3"/>
        <v>863300</v>
      </c>
      <c r="O71" s="39">
        <f t="shared" si="9"/>
        <v>0</v>
      </c>
    </row>
    <row r="72" spans="1:15" ht="15.95" customHeight="1" x14ac:dyDescent="0.2">
      <c r="A72" s="42" t="s">
        <v>115</v>
      </c>
      <c r="B72" s="30" t="s">
        <v>175</v>
      </c>
      <c r="C72" s="29">
        <v>8000</v>
      </c>
      <c r="D72" s="29"/>
      <c r="E72" s="29"/>
      <c r="F72" s="45"/>
      <c r="G72" s="45"/>
      <c r="H72" s="29"/>
      <c r="I72" s="29"/>
      <c r="J72" s="45"/>
      <c r="K72" s="45"/>
      <c r="L72" s="29">
        <f t="shared" si="6"/>
        <v>8000</v>
      </c>
      <c r="M72" s="29"/>
      <c r="N72" s="29">
        <f t="shared" si="3"/>
        <v>8000</v>
      </c>
      <c r="O72" s="39">
        <f t="shared" si="9"/>
        <v>0</v>
      </c>
    </row>
    <row r="73" spans="1:15" ht="15.95" customHeight="1" x14ac:dyDescent="0.2">
      <c r="A73" s="42" t="s">
        <v>116</v>
      </c>
      <c r="B73" s="30" t="s">
        <v>58</v>
      </c>
      <c r="C73" s="29">
        <v>176000</v>
      </c>
      <c r="D73" s="29"/>
      <c r="E73" s="29"/>
      <c r="F73" s="45"/>
      <c r="G73" s="45"/>
      <c r="H73" s="29"/>
      <c r="I73" s="29"/>
      <c r="J73" s="45"/>
      <c r="K73" s="45"/>
      <c r="L73" s="29">
        <f>C73+D73-E73+F73-G73+H73+J73-I73-K73</f>
        <v>176000</v>
      </c>
      <c r="M73" s="29"/>
      <c r="N73" s="29">
        <f t="shared" si="3"/>
        <v>176000</v>
      </c>
      <c r="O73" s="39">
        <f t="shared" si="9"/>
        <v>0</v>
      </c>
    </row>
    <row r="74" spans="1:15" ht="15.95" customHeight="1" x14ac:dyDescent="0.2">
      <c r="A74" s="42" t="s">
        <v>117</v>
      </c>
      <c r="B74" s="30" t="s">
        <v>176</v>
      </c>
      <c r="C74" s="29">
        <v>8250</v>
      </c>
      <c r="D74" s="29"/>
      <c r="E74" s="29"/>
      <c r="F74" s="45"/>
      <c r="G74" s="45"/>
      <c r="H74" s="29"/>
      <c r="I74" s="29"/>
      <c r="J74" s="45"/>
      <c r="K74" s="45"/>
      <c r="L74" s="29">
        <f t="shared" si="6"/>
        <v>8250</v>
      </c>
      <c r="M74" s="29"/>
      <c r="N74" s="29">
        <f t="shared" si="3"/>
        <v>8250</v>
      </c>
      <c r="O74" s="39">
        <f t="shared" si="9"/>
        <v>0</v>
      </c>
    </row>
    <row r="75" spans="1:15" ht="15.95" customHeight="1" x14ac:dyDescent="0.2">
      <c r="A75" s="42" t="s">
        <v>118</v>
      </c>
      <c r="B75" s="30" t="s">
        <v>177</v>
      </c>
      <c r="C75" s="29">
        <v>2500</v>
      </c>
      <c r="D75" s="29"/>
      <c r="E75" s="29"/>
      <c r="F75" s="45"/>
      <c r="G75" s="45"/>
      <c r="H75" s="29"/>
      <c r="I75" s="29"/>
      <c r="J75" s="45"/>
      <c r="K75" s="45"/>
      <c r="L75" s="29">
        <f t="shared" si="6"/>
        <v>2500</v>
      </c>
      <c r="M75" s="29">
        <v>50.36</v>
      </c>
      <c r="N75" s="29">
        <f t="shared" si="3"/>
        <v>2449.64</v>
      </c>
      <c r="O75" s="39">
        <f t="shared" si="9"/>
        <v>4.5450537477876029E-4</v>
      </c>
    </row>
    <row r="76" spans="1:15" ht="15.95" customHeight="1" x14ac:dyDescent="0.2">
      <c r="A76" s="42" t="s">
        <v>119</v>
      </c>
      <c r="B76" s="30" t="s">
        <v>59</v>
      </c>
      <c r="C76" s="29">
        <v>125000</v>
      </c>
      <c r="D76" s="29"/>
      <c r="E76" s="29"/>
      <c r="F76" s="45"/>
      <c r="G76" s="45"/>
      <c r="H76" s="29"/>
      <c r="I76" s="29"/>
      <c r="J76" s="45"/>
      <c r="K76" s="45"/>
      <c r="L76" s="29">
        <f t="shared" si="6"/>
        <v>125000</v>
      </c>
      <c r="M76" s="29"/>
      <c r="N76" s="29">
        <f t="shared" si="3"/>
        <v>125000</v>
      </c>
      <c r="O76" s="39">
        <f t="shared" si="9"/>
        <v>0</v>
      </c>
    </row>
    <row r="77" spans="1:15" ht="15.95" customHeight="1" x14ac:dyDescent="0.2">
      <c r="A77" s="42" t="s">
        <v>120</v>
      </c>
      <c r="B77" s="30" t="s">
        <v>178</v>
      </c>
      <c r="C77" s="29">
        <v>50000</v>
      </c>
      <c r="D77" s="29"/>
      <c r="E77" s="29"/>
      <c r="F77" s="45"/>
      <c r="G77" s="45"/>
      <c r="H77" s="29"/>
      <c r="I77" s="29"/>
      <c r="J77" s="45"/>
      <c r="K77" s="45"/>
      <c r="L77" s="29">
        <f t="shared" ref="L77:L78" si="10">C77+D77-E77+F77-G77+H77+J77-I77-K77</f>
        <v>50000</v>
      </c>
      <c r="M77" s="29"/>
      <c r="N77" s="29">
        <f t="shared" si="3"/>
        <v>50000</v>
      </c>
      <c r="O77" s="39">
        <f t="shared" si="9"/>
        <v>0</v>
      </c>
    </row>
    <row r="78" spans="1:15" ht="15.95" customHeight="1" x14ac:dyDescent="0.2">
      <c r="A78" s="42" t="s">
        <v>179</v>
      </c>
      <c r="B78" s="30" t="s">
        <v>152</v>
      </c>
      <c r="C78" s="29">
        <v>46100</v>
      </c>
      <c r="D78" s="29"/>
      <c r="E78" s="29"/>
      <c r="F78" s="45"/>
      <c r="G78" s="45"/>
      <c r="H78" s="29"/>
      <c r="I78" s="29"/>
      <c r="J78" s="45"/>
      <c r="K78" s="45"/>
      <c r="L78" s="29">
        <f t="shared" si="10"/>
        <v>46100</v>
      </c>
      <c r="M78" s="29"/>
      <c r="N78" s="29">
        <f t="shared" si="3"/>
        <v>46100</v>
      </c>
      <c r="O78" s="39">
        <f t="shared" si="9"/>
        <v>0</v>
      </c>
    </row>
    <row r="79" spans="1:15" ht="15.95" customHeight="1" x14ac:dyDescent="0.2">
      <c r="A79" s="42" t="s">
        <v>121</v>
      </c>
      <c r="B79" s="30" t="s">
        <v>180</v>
      </c>
      <c r="C79" s="29">
        <v>51000</v>
      </c>
      <c r="D79" s="29"/>
      <c r="E79" s="29"/>
      <c r="F79" s="45"/>
      <c r="G79" s="45"/>
      <c r="H79" s="29"/>
      <c r="I79" s="29"/>
      <c r="J79" s="45"/>
      <c r="K79" s="45"/>
      <c r="L79" s="29">
        <f t="shared" si="6"/>
        <v>51000</v>
      </c>
      <c r="M79" s="29">
        <v>55</v>
      </c>
      <c r="N79" s="29">
        <f t="shared" si="3"/>
        <v>50945</v>
      </c>
      <c r="O79" s="39">
        <f t="shared" si="9"/>
        <v>4.9638196212930532E-4</v>
      </c>
    </row>
    <row r="80" spans="1:15" ht="15.95" customHeight="1" x14ac:dyDescent="0.2">
      <c r="A80" s="42"/>
      <c r="B80" s="30"/>
      <c r="C80" s="29"/>
      <c r="D80" s="29"/>
      <c r="E80" s="29"/>
      <c r="F80" s="45"/>
      <c r="G80" s="45"/>
      <c r="H80" s="29"/>
      <c r="I80" s="29"/>
      <c r="J80" s="45"/>
      <c r="K80" s="45"/>
      <c r="L80" s="29"/>
      <c r="M80" s="29"/>
      <c r="N80" s="29"/>
      <c r="O80" s="39"/>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5">
      <c r="A82" s="40">
        <v>2</v>
      </c>
      <c r="B82" s="41" t="s">
        <v>60</v>
      </c>
      <c r="C82" s="27"/>
      <c r="D82" s="29"/>
      <c r="E82" s="29"/>
      <c r="F82" s="45"/>
      <c r="G82" s="45"/>
      <c r="H82" s="29"/>
      <c r="I82" s="29"/>
      <c r="J82" s="45"/>
      <c r="K82" s="45"/>
      <c r="L82" s="29"/>
      <c r="M82" s="29"/>
      <c r="N82" s="29"/>
      <c r="O82" s="39"/>
    </row>
    <row r="83" spans="1:15" ht="15.95" customHeight="1" x14ac:dyDescent="0.2">
      <c r="A83" s="42" t="s">
        <v>122</v>
      </c>
      <c r="B83" s="30" t="s">
        <v>61</v>
      </c>
      <c r="C83" s="29">
        <v>146784.1</v>
      </c>
      <c r="D83" s="29"/>
      <c r="E83" s="29"/>
      <c r="F83" s="45"/>
      <c r="G83" s="45"/>
      <c r="H83" s="29"/>
      <c r="I83" s="29"/>
      <c r="J83" s="45"/>
      <c r="K83" s="45"/>
      <c r="L83" s="29">
        <f t="shared" ref="L83:L119" si="11">C83+D83-E83+F83-G83+H83+J83-K83</f>
        <v>146784.1</v>
      </c>
      <c r="M83" s="29">
        <v>1296.25</v>
      </c>
      <c r="N83" s="29">
        <f t="shared" si="3"/>
        <v>145487.85</v>
      </c>
      <c r="O83" s="39">
        <f t="shared" ref="O83:O119" si="12">M83/$M$138</f>
        <v>1.1698820334729309E-2</v>
      </c>
    </row>
    <row r="84" spans="1:15" ht="15.95" hidden="1" customHeight="1" x14ac:dyDescent="0.2">
      <c r="A84" s="42">
        <v>214</v>
      </c>
      <c r="B84" s="30" t="s">
        <v>192</v>
      </c>
      <c r="C84" s="29">
        <v>0</v>
      </c>
      <c r="D84" s="29"/>
      <c r="E84" s="29"/>
      <c r="F84" s="45"/>
      <c r="G84" s="45"/>
      <c r="H84" s="29"/>
      <c r="I84" s="29"/>
      <c r="J84" s="45"/>
      <c r="K84" s="45"/>
      <c r="L84" s="29">
        <f t="shared" si="11"/>
        <v>0</v>
      </c>
      <c r="M84" s="29"/>
      <c r="N84" s="29">
        <f t="shared" si="3"/>
        <v>0</v>
      </c>
      <c r="O84" s="39">
        <f t="shared" si="12"/>
        <v>0</v>
      </c>
    </row>
    <row r="85" spans="1:15" ht="15.95" customHeight="1" x14ac:dyDescent="0.2">
      <c r="A85" s="42">
        <v>223</v>
      </c>
      <c r="B85" s="30" t="s">
        <v>193</v>
      </c>
      <c r="C85" s="29">
        <v>2000</v>
      </c>
      <c r="D85" s="29"/>
      <c r="E85" s="29"/>
      <c r="F85" s="45"/>
      <c r="G85" s="45"/>
      <c r="H85" s="29"/>
      <c r="I85" s="29"/>
      <c r="J85" s="45"/>
      <c r="K85" s="45"/>
      <c r="L85" s="29">
        <f t="shared" si="11"/>
        <v>2000</v>
      </c>
      <c r="M85" s="29"/>
      <c r="N85" s="29">
        <f t="shared" si="3"/>
        <v>2000</v>
      </c>
      <c r="O85" s="39">
        <f t="shared" si="12"/>
        <v>0</v>
      </c>
    </row>
    <row r="86" spans="1:15" ht="15.95" hidden="1" customHeight="1" x14ac:dyDescent="0.2">
      <c r="A86" s="42">
        <v>229</v>
      </c>
      <c r="B86" s="30" t="s">
        <v>194</v>
      </c>
      <c r="C86" s="29">
        <v>0</v>
      </c>
      <c r="D86" s="29"/>
      <c r="E86" s="29"/>
      <c r="F86" s="45"/>
      <c r="G86" s="45"/>
      <c r="H86" s="29"/>
      <c r="I86" s="29"/>
      <c r="J86" s="45"/>
      <c r="K86" s="45"/>
      <c r="L86" s="29">
        <f t="shared" si="11"/>
        <v>0</v>
      </c>
      <c r="M86" s="29"/>
      <c r="N86" s="29">
        <f t="shared" si="3"/>
        <v>0</v>
      </c>
      <c r="O86" s="39">
        <f t="shared" si="12"/>
        <v>0</v>
      </c>
    </row>
    <row r="87" spans="1:15" ht="15.95" customHeight="1" x14ac:dyDescent="0.2">
      <c r="A87" s="42" t="s">
        <v>123</v>
      </c>
      <c r="B87" s="30" t="s">
        <v>62</v>
      </c>
      <c r="C87" s="29">
        <v>5000</v>
      </c>
      <c r="D87" s="29"/>
      <c r="E87" s="29"/>
      <c r="F87" s="45"/>
      <c r="G87" s="45"/>
      <c r="H87" s="29"/>
      <c r="I87" s="29"/>
      <c r="J87" s="45"/>
      <c r="K87" s="45"/>
      <c r="L87" s="29">
        <f t="shared" si="11"/>
        <v>5000</v>
      </c>
      <c r="M87" s="29"/>
      <c r="N87" s="29">
        <f t="shared" si="3"/>
        <v>5000</v>
      </c>
      <c r="O87" s="39">
        <f t="shared" si="12"/>
        <v>0</v>
      </c>
    </row>
    <row r="88" spans="1:15" ht="15.95" customHeight="1" x14ac:dyDescent="0.2">
      <c r="A88" s="42" t="s">
        <v>124</v>
      </c>
      <c r="B88" s="30" t="s">
        <v>63</v>
      </c>
      <c r="C88" s="29">
        <v>33800</v>
      </c>
      <c r="D88" s="29"/>
      <c r="E88" s="29"/>
      <c r="F88" s="45"/>
      <c r="G88" s="45"/>
      <c r="H88" s="29"/>
      <c r="I88" s="29"/>
      <c r="J88" s="45"/>
      <c r="K88" s="45"/>
      <c r="L88" s="29">
        <f t="shared" si="11"/>
        <v>33800</v>
      </c>
      <c r="M88" s="29"/>
      <c r="N88" s="29">
        <f t="shared" si="3"/>
        <v>33800</v>
      </c>
      <c r="O88" s="39">
        <f t="shared" si="12"/>
        <v>0</v>
      </c>
    </row>
    <row r="89" spans="1:15" ht="15.95" customHeight="1" x14ac:dyDescent="0.2">
      <c r="A89" s="42" t="s">
        <v>125</v>
      </c>
      <c r="B89" s="30" t="s">
        <v>64</v>
      </c>
      <c r="C89" s="29">
        <v>5250</v>
      </c>
      <c r="D89" s="29"/>
      <c r="E89" s="29"/>
      <c r="F89" s="45"/>
      <c r="G89" s="45"/>
      <c r="H89" s="29"/>
      <c r="I89" s="29"/>
      <c r="J89" s="45"/>
      <c r="K89" s="45"/>
      <c r="L89" s="29">
        <f t="shared" ref="L89" si="13">C89+D89-E89+F89-G89+H89+J89-I89-K89</f>
        <v>5250</v>
      </c>
      <c r="M89" s="29"/>
      <c r="N89" s="29">
        <f t="shared" si="3"/>
        <v>5250</v>
      </c>
      <c r="O89" s="39">
        <f t="shared" si="12"/>
        <v>0</v>
      </c>
    </row>
    <row r="90" spans="1:15" ht="15.95" customHeight="1" x14ac:dyDescent="0.2">
      <c r="A90" s="42" t="s">
        <v>126</v>
      </c>
      <c r="B90" s="30" t="s">
        <v>65</v>
      </c>
      <c r="C90" s="29">
        <v>10500</v>
      </c>
      <c r="D90" s="29"/>
      <c r="E90" s="29"/>
      <c r="F90" s="45"/>
      <c r="G90" s="45"/>
      <c r="H90" s="29"/>
      <c r="I90" s="29"/>
      <c r="J90" s="45"/>
      <c r="K90" s="45"/>
      <c r="L90" s="29">
        <f t="shared" si="11"/>
        <v>10500</v>
      </c>
      <c r="M90" s="29">
        <v>906.45</v>
      </c>
      <c r="N90" s="29">
        <f t="shared" si="3"/>
        <v>9593.5499999999993</v>
      </c>
      <c r="O90" s="39">
        <f t="shared" si="12"/>
        <v>8.1808259922201611E-3</v>
      </c>
    </row>
    <row r="91" spans="1:15" ht="15.95" customHeight="1" x14ac:dyDescent="0.2">
      <c r="A91" s="42" t="s">
        <v>127</v>
      </c>
      <c r="B91" s="30" t="s">
        <v>195</v>
      </c>
      <c r="C91" s="29">
        <v>3050</v>
      </c>
      <c r="D91" s="29"/>
      <c r="E91" s="29"/>
      <c r="F91" s="45"/>
      <c r="G91" s="45"/>
      <c r="H91" s="29"/>
      <c r="I91" s="29"/>
      <c r="J91" s="45"/>
      <c r="K91" s="45"/>
      <c r="L91" s="29">
        <f t="shared" ref="L91" si="14">C91+D91-E91+F91-G91+H91+J91-I91-K91</f>
        <v>3050</v>
      </c>
      <c r="M91" s="29">
        <v>660.7</v>
      </c>
      <c r="N91" s="29">
        <f t="shared" si="3"/>
        <v>2389.3000000000002</v>
      </c>
      <c r="O91" s="39">
        <f t="shared" si="12"/>
        <v>5.9629011341605824E-3</v>
      </c>
    </row>
    <row r="92" spans="1:15" ht="15.95" customHeight="1" x14ac:dyDescent="0.2">
      <c r="A92" s="42" t="s">
        <v>128</v>
      </c>
      <c r="B92" s="30" t="s">
        <v>66</v>
      </c>
      <c r="C92" s="29">
        <v>875</v>
      </c>
      <c r="D92" s="29"/>
      <c r="E92" s="29"/>
      <c r="F92" s="45"/>
      <c r="G92" s="45"/>
      <c r="H92" s="29"/>
      <c r="I92" s="29"/>
      <c r="J92" s="45"/>
      <c r="K92" s="45"/>
      <c r="L92" s="29">
        <f t="shared" si="11"/>
        <v>875</v>
      </c>
      <c r="M92" s="29"/>
      <c r="N92" s="29">
        <f t="shared" si="3"/>
        <v>875</v>
      </c>
      <c r="O92" s="39">
        <f t="shared" si="12"/>
        <v>0</v>
      </c>
    </row>
    <row r="93" spans="1:15" ht="15.95" customHeight="1" x14ac:dyDescent="0.2">
      <c r="A93" s="42" t="s">
        <v>129</v>
      </c>
      <c r="B93" s="30" t="s">
        <v>196</v>
      </c>
      <c r="C93" s="29">
        <v>5500</v>
      </c>
      <c r="D93" s="29"/>
      <c r="E93" s="29"/>
      <c r="F93" s="45"/>
      <c r="G93" s="45"/>
      <c r="H93" s="29"/>
      <c r="I93" s="29"/>
      <c r="J93" s="45"/>
      <c r="K93" s="45"/>
      <c r="L93" s="29">
        <f t="shared" si="11"/>
        <v>5500</v>
      </c>
      <c r="M93" s="29"/>
      <c r="N93" s="29">
        <f t="shared" si="3"/>
        <v>5500</v>
      </c>
      <c r="O93" s="39">
        <f t="shared" si="12"/>
        <v>0</v>
      </c>
    </row>
    <row r="94" spans="1:15" ht="15.95" customHeight="1" x14ac:dyDescent="0.2">
      <c r="A94" s="42" t="s">
        <v>130</v>
      </c>
      <c r="B94" s="30" t="s">
        <v>67</v>
      </c>
      <c r="C94" s="29">
        <v>2700</v>
      </c>
      <c r="D94" s="29"/>
      <c r="E94" s="29"/>
      <c r="F94" s="45"/>
      <c r="G94" s="45"/>
      <c r="H94" s="29"/>
      <c r="I94" s="29"/>
      <c r="J94" s="45"/>
      <c r="K94" s="45"/>
      <c r="L94" s="29">
        <f t="shared" si="11"/>
        <v>2700</v>
      </c>
      <c r="M94" s="29"/>
      <c r="N94" s="29">
        <f t="shared" si="3"/>
        <v>2700</v>
      </c>
      <c r="O94" s="39">
        <f t="shared" si="12"/>
        <v>0</v>
      </c>
    </row>
    <row r="95" spans="1:15" ht="15.95" customHeight="1" x14ac:dyDescent="0.2">
      <c r="A95" s="42" t="s">
        <v>197</v>
      </c>
      <c r="B95" s="30" t="s">
        <v>198</v>
      </c>
      <c r="C95" s="29">
        <v>2800</v>
      </c>
      <c r="D95" s="29"/>
      <c r="E95" s="29"/>
      <c r="F95" s="45"/>
      <c r="G95" s="45"/>
      <c r="H95" s="29"/>
      <c r="I95" s="29"/>
      <c r="J95" s="45"/>
      <c r="K95" s="45"/>
      <c r="L95" s="29">
        <f t="shared" si="11"/>
        <v>2800</v>
      </c>
      <c r="M95" s="29"/>
      <c r="N95" s="29">
        <f t="shared" si="3"/>
        <v>2800</v>
      </c>
      <c r="O95" s="39">
        <f t="shared" si="12"/>
        <v>0</v>
      </c>
    </row>
    <row r="96" spans="1:15" ht="15.95" customHeight="1" x14ac:dyDescent="0.2">
      <c r="A96" s="42" t="s">
        <v>131</v>
      </c>
      <c r="B96" s="30" t="s">
        <v>68</v>
      </c>
      <c r="C96" s="29">
        <v>8500</v>
      </c>
      <c r="D96" s="29"/>
      <c r="E96" s="29"/>
      <c r="F96" s="45"/>
      <c r="G96" s="45"/>
      <c r="H96" s="29"/>
      <c r="I96" s="29"/>
      <c r="J96" s="45"/>
      <c r="K96" s="45"/>
      <c r="L96" s="29">
        <f t="shared" si="11"/>
        <v>8500</v>
      </c>
      <c r="M96" s="29">
        <v>270</v>
      </c>
      <c r="N96" s="29">
        <f t="shared" si="3"/>
        <v>8230</v>
      </c>
      <c r="O96" s="39">
        <f t="shared" si="12"/>
        <v>2.4367841777256805E-3</v>
      </c>
    </row>
    <row r="97" spans="1:15" ht="15.95" customHeight="1" x14ac:dyDescent="0.2">
      <c r="A97" s="42" t="s">
        <v>132</v>
      </c>
      <c r="B97" s="30" t="s">
        <v>199</v>
      </c>
      <c r="C97" s="29">
        <v>6000</v>
      </c>
      <c r="D97" s="29"/>
      <c r="E97" s="29"/>
      <c r="F97" s="45"/>
      <c r="G97" s="45"/>
      <c r="H97" s="29"/>
      <c r="I97" s="29"/>
      <c r="J97" s="45"/>
      <c r="K97" s="45"/>
      <c r="L97" s="29">
        <f t="shared" si="11"/>
        <v>6000</v>
      </c>
      <c r="M97" s="29"/>
      <c r="N97" s="29">
        <f t="shared" si="3"/>
        <v>6000</v>
      </c>
      <c r="O97" s="39">
        <f t="shared" si="12"/>
        <v>0</v>
      </c>
    </row>
    <row r="98" spans="1:15" ht="15.95" customHeight="1" x14ac:dyDescent="0.2">
      <c r="A98" s="42" t="s">
        <v>133</v>
      </c>
      <c r="B98" s="30" t="s">
        <v>69</v>
      </c>
      <c r="C98" s="29">
        <v>17500</v>
      </c>
      <c r="D98" s="29"/>
      <c r="E98" s="29"/>
      <c r="F98" s="45"/>
      <c r="G98" s="45"/>
      <c r="H98" s="29"/>
      <c r="I98" s="29"/>
      <c r="J98" s="45"/>
      <c r="K98" s="45"/>
      <c r="L98" s="29">
        <f t="shared" si="11"/>
        <v>17500</v>
      </c>
      <c r="M98" s="29">
        <v>862.5</v>
      </c>
      <c r="N98" s="29">
        <f t="shared" si="3"/>
        <v>16637.5</v>
      </c>
      <c r="O98" s="39">
        <f t="shared" si="12"/>
        <v>7.7841716788459242E-3</v>
      </c>
    </row>
    <row r="99" spans="1:15" ht="15.95" customHeight="1" x14ac:dyDescent="0.2">
      <c r="A99" s="42" t="s">
        <v>134</v>
      </c>
      <c r="B99" s="30" t="s">
        <v>200</v>
      </c>
      <c r="C99" s="29">
        <v>3000</v>
      </c>
      <c r="D99" s="29"/>
      <c r="E99" s="29"/>
      <c r="F99" s="45"/>
      <c r="G99" s="45"/>
      <c r="H99" s="29"/>
      <c r="I99" s="29"/>
      <c r="J99" s="45"/>
      <c r="K99" s="45"/>
      <c r="L99" s="29">
        <f t="shared" si="11"/>
        <v>3000</v>
      </c>
      <c r="M99" s="29"/>
      <c r="N99" s="29">
        <f t="shared" si="3"/>
        <v>3000</v>
      </c>
      <c r="O99" s="39">
        <f t="shared" si="12"/>
        <v>0</v>
      </c>
    </row>
    <row r="100" spans="1:15" ht="15.95" customHeight="1" x14ac:dyDescent="0.2">
      <c r="A100" s="42" t="s">
        <v>135</v>
      </c>
      <c r="B100" s="30" t="s">
        <v>201</v>
      </c>
      <c r="C100" s="29">
        <v>1500</v>
      </c>
      <c r="D100" s="29"/>
      <c r="E100" s="29"/>
      <c r="F100" s="45"/>
      <c r="G100" s="45"/>
      <c r="H100" s="29"/>
      <c r="I100" s="29"/>
      <c r="J100" s="45"/>
      <c r="K100" s="45"/>
      <c r="L100" s="29">
        <f t="shared" si="11"/>
        <v>1500</v>
      </c>
      <c r="M100" s="29"/>
      <c r="N100" s="29">
        <f t="shared" ref="N100:N137" si="15">L100-M100</f>
        <v>1500</v>
      </c>
      <c r="O100" s="39">
        <f t="shared" si="12"/>
        <v>0</v>
      </c>
    </row>
    <row r="101" spans="1:15" ht="15.95" customHeight="1" x14ac:dyDescent="0.2">
      <c r="A101" s="42" t="s">
        <v>136</v>
      </c>
      <c r="B101" s="30" t="s">
        <v>70</v>
      </c>
      <c r="C101" s="29">
        <v>331653.08</v>
      </c>
      <c r="D101" s="29"/>
      <c r="E101" s="29"/>
      <c r="F101" s="45"/>
      <c r="G101" s="45"/>
      <c r="H101" s="29"/>
      <c r="I101" s="29"/>
      <c r="J101" s="45"/>
      <c r="K101" s="45"/>
      <c r="L101" s="29">
        <f t="shared" si="11"/>
        <v>331653.08</v>
      </c>
      <c r="M101" s="29"/>
      <c r="N101" s="29">
        <f t="shared" si="15"/>
        <v>331653.08</v>
      </c>
      <c r="O101" s="39">
        <f t="shared" si="12"/>
        <v>0</v>
      </c>
    </row>
    <row r="102" spans="1:15" ht="15.95" hidden="1" customHeight="1" x14ac:dyDescent="0.2">
      <c r="A102" s="42">
        <v>272</v>
      </c>
      <c r="B102" s="30" t="s">
        <v>202</v>
      </c>
      <c r="C102" s="29">
        <v>0</v>
      </c>
      <c r="D102" s="29"/>
      <c r="E102" s="29"/>
      <c r="F102" s="45"/>
      <c r="G102" s="45"/>
      <c r="H102" s="29"/>
      <c r="I102" s="29"/>
      <c r="J102" s="45"/>
      <c r="K102" s="45"/>
      <c r="L102" s="29">
        <f t="shared" si="11"/>
        <v>0</v>
      </c>
      <c r="M102" s="29"/>
      <c r="N102" s="29">
        <f t="shared" si="15"/>
        <v>0</v>
      </c>
      <c r="O102" s="39">
        <f t="shared" si="12"/>
        <v>0</v>
      </c>
    </row>
    <row r="103" spans="1:15" ht="15.95" hidden="1" customHeight="1" x14ac:dyDescent="0.2">
      <c r="A103" s="42" t="s">
        <v>137</v>
      </c>
      <c r="B103" s="30" t="s">
        <v>203</v>
      </c>
      <c r="C103" s="29">
        <v>0</v>
      </c>
      <c r="D103" s="29"/>
      <c r="E103" s="29"/>
      <c r="F103" s="45"/>
      <c r="G103" s="45"/>
      <c r="H103" s="29"/>
      <c r="I103" s="29"/>
      <c r="J103" s="45"/>
      <c r="K103" s="45"/>
      <c r="L103" s="29">
        <f t="shared" si="11"/>
        <v>0</v>
      </c>
      <c r="M103" s="29"/>
      <c r="N103" s="29">
        <f t="shared" si="15"/>
        <v>0</v>
      </c>
      <c r="O103" s="39">
        <f t="shared" si="12"/>
        <v>0</v>
      </c>
    </row>
    <row r="104" spans="1:15" ht="15.95" customHeight="1" x14ac:dyDescent="0.2">
      <c r="A104" s="42">
        <v>274</v>
      </c>
      <c r="B104" s="30" t="s">
        <v>71</v>
      </c>
      <c r="C104" s="29">
        <v>1500</v>
      </c>
      <c r="D104" s="29"/>
      <c r="E104" s="29"/>
      <c r="F104" s="45"/>
      <c r="G104" s="45"/>
      <c r="H104" s="29"/>
      <c r="I104" s="29"/>
      <c r="J104" s="45"/>
      <c r="K104" s="45"/>
      <c r="L104" s="29">
        <f t="shared" si="11"/>
        <v>1500</v>
      </c>
      <c r="M104" s="29"/>
      <c r="N104" s="29">
        <f t="shared" si="15"/>
        <v>1500</v>
      </c>
      <c r="O104" s="39">
        <f t="shared" si="12"/>
        <v>0</v>
      </c>
    </row>
    <row r="105" spans="1:15" ht="15.95" hidden="1" customHeight="1" x14ac:dyDescent="0.2">
      <c r="A105" s="42">
        <v>275</v>
      </c>
      <c r="B105" s="30" t="s">
        <v>204</v>
      </c>
      <c r="C105" s="29">
        <v>0</v>
      </c>
      <c r="D105" s="29"/>
      <c r="E105" s="29"/>
      <c r="F105" s="45"/>
      <c r="G105" s="45"/>
      <c r="H105" s="29"/>
      <c r="I105" s="29"/>
      <c r="J105" s="45"/>
      <c r="K105" s="45"/>
      <c r="L105" s="29">
        <f t="shared" si="11"/>
        <v>0</v>
      </c>
      <c r="M105" s="29"/>
      <c r="N105" s="29">
        <f t="shared" si="15"/>
        <v>0</v>
      </c>
      <c r="O105" s="39">
        <f t="shared" si="12"/>
        <v>0</v>
      </c>
    </row>
    <row r="106" spans="1:15" ht="15.95" customHeight="1" x14ac:dyDescent="0.2">
      <c r="A106" s="42">
        <v>279</v>
      </c>
      <c r="B106" s="30" t="s">
        <v>205</v>
      </c>
      <c r="C106" s="29">
        <v>750</v>
      </c>
      <c r="D106" s="29"/>
      <c r="E106" s="29"/>
      <c r="F106" s="45"/>
      <c r="G106" s="45"/>
      <c r="H106" s="29"/>
      <c r="I106" s="29"/>
      <c r="J106" s="45"/>
      <c r="K106" s="45"/>
      <c r="L106" s="29">
        <f t="shared" si="11"/>
        <v>750</v>
      </c>
      <c r="M106" s="29"/>
      <c r="N106" s="29">
        <f t="shared" si="15"/>
        <v>750</v>
      </c>
      <c r="O106" s="39">
        <f t="shared" si="12"/>
        <v>0</v>
      </c>
    </row>
    <row r="107" spans="1:15" ht="15.95" hidden="1" customHeight="1" x14ac:dyDescent="0.2">
      <c r="A107" s="42">
        <v>281</v>
      </c>
      <c r="B107" s="30" t="s">
        <v>206</v>
      </c>
      <c r="C107" s="29">
        <v>0</v>
      </c>
      <c r="D107" s="29"/>
      <c r="E107" s="29"/>
      <c r="F107" s="45"/>
      <c r="G107" s="45"/>
      <c r="H107" s="29"/>
      <c r="I107" s="29"/>
      <c r="J107" s="45"/>
      <c r="K107" s="45"/>
      <c r="L107" s="29">
        <f t="shared" si="11"/>
        <v>0</v>
      </c>
      <c r="M107" s="29"/>
      <c r="N107" s="29">
        <f t="shared" si="15"/>
        <v>0</v>
      </c>
      <c r="O107" s="39">
        <f t="shared" si="12"/>
        <v>0</v>
      </c>
    </row>
    <row r="108" spans="1:15" ht="15.95" customHeight="1" x14ac:dyDescent="0.2">
      <c r="A108" s="42" t="s">
        <v>138</v>
      </c>
      <c r="B108" s="30" t="s">
        <v>207</v>
      </c>
      <c r="C108" s="29">
        <v>4800</v>
      </c>
      <c r="D108" s="29"/>
      <c r="E108" s="29"/>
      <c r="F108" s="45"/>
      <c r="G108" s="45"/>
      <c r="H108" s="29"/>
      <c r="I108" s="29"/>
      <c r="J108" s="45"/>
      <c r="K108" s="45"/>
      <c r="L108" s="29">
        <f t="shared" si="11"/>
        <v>4800</v>
      </c>
      <c r="M108" s="29"/>
      <c r="N108" s="29">
        <f t="shared" si="15"/>
        <v>4800</v>
      </c>
      <c r="O108" s="39">
        <f t="shared" si="12"/>
        <v>0</v>
      </c>
    </row>
    <row r="109" spans="1:15" ht="15.95" customHeight="1" x14ac:dyDescent="0.2">
      <c r="A109" s="42" t="s">
        <v>139</v>
      </c>
      <c r="B109" s="30" t="s">
        <v>72</v>
      </c>
      <c r="C109" s="29">
        <v>28800</v>
      </c>
      <c r="D109" s="29"/>
      <c r="E109" s="29"/>
      <c r="F109" s="45"/>
      <c r="G109" s="45"/>
      <c r="H109" s="29"/>
      <c r="I109" s="29"/>
      <c r="J109" s="45"/>
      <c r="K109" s="45"/>
      <c r="L109" s="29">
        <f t="shared" si="11"/>
        <v>28800</v>
      </c>
      <c r="M109" s="29"/>
      <c r="N109" s="29">
        <f t="shared" si="15"/>
        <v>28800</v>
      </c>
      <c r="O109" s="39">
        <f t="shared" si="12"/>
        <v>0</v>
      </c>
    </row>
    <row r="110" spans="1:15" ht="15.95" customHeight="1" x14ac:dyDescent="0.2">
      <c r="A110" s="42" t="s">
        <v>140</v>
      </c>
      <c r="B110" s="30" t="s">
        <v>73</v>
      </c>
      <c r="C110" s="29">
        <v>1150000</v>
      </c>
      <c r="D110" s="29"/>
      <c r="E110" s="29"/>
      <c r="F110" s="45"/>
      <c r="G110" s="45"/>
      <c r="H110" s="29"/>
      <c r="I110" s="29"/>
      <c r="J110" s="45"/>
      <c r="K110" s="45"/>
      <c r="L110" s="29">
        <f>C110+D110-E110+F110-G110+H110+J110-I110-K110</f>
        <v>1150000</v>
      </c>
      <c r="M110" s="29"/>
      <c r="N110" s="29">
        <f t="shared" si="15"/>
        <v>1150000</v>
      </c>
      <c r="O110" s="39">
        <f t="shared" si="12"/>
        <v>0</v>
      </c>
    </row>
    <row r="111" spans="1:15" ht="15.95" customHeight="1" x14ac:dyDescent="0.2">
      <c r="A111" s="42">
        <v>286</v>
      </c>
      <c r="B111" s="30" t="s">
        <v>208</v>
      </c>
      <c r="C111" s="29">
        <v>1500</v>
      </c>
      <c r="D111" s="29"/>
      <c r="E111" s="29"/>
      <c r="F111" s="45"/>
      <c r="G111" s="45"/>
      <c r="H111" s="29"/>
      <c r="I111" s="29"/>
      <c r="J111" s="45"/>
      <c r="K111" s="45"/>
      <c r="L111" s="29">
        <f t="shared" si="11"/>
        <v>1500</v>
      </c>
      <c r="M111" s="29"/>
      <c r="N111" s="29">
        <f t="shared" si="15"/>
        <v>1500</v>
      </c>
      <c r="O111" s="39">
        <f t="shared" si="12"/>
        <v>0</v>
      </c>
    </row>
    <row r="112" spans="1:15" ht="15.95" hidden="1" customHeight="1" x14ac:dyDescent="0.2">
      <c r="A112" s="42">
        <v>289</v>
      </c>
      <c r="B112" s="30" t="s">
        <v>209</v>
      </c>
      <c r="C112" s="29">
        <v>0</v>
      </c>
      <c r="D112" s="29"/>
      <c r="E112" s="29"/>
      <c r="F112" s="45"/>
      <c r="G112" s="45"/>
      <c r="H112" s="29"/>
      <c r="I112" s="29"/>
      <c r="J112" s="45"/>
      <c r="K112" s="45"/>
      <c r="L112" s="29">
        <f t="shared" si="11"/>
        <v>0</v>
      </c>
      <c r="M112" s="29"/>
      <c r="N112" s="29">
        <f t="shared" si="15"/>
        <v>0</v>
      </c>
      <c r="O112" s="39">
        <f t="shared" si="12"/>
        <v>0</v>
      </c>
    </row>
    <row r="113" spans="1:15" ht="15.95" customHeight="1" x14ac:dyDescent="0.2">
      <c r="A113" s="42" t="s">
        <v>141</v>
      </c>
      <c r="B113" s="30" t="s">
        <v>74</v>
      </c>
      <c r="C113" s="29">
        <v>6600</v>
      </c>
      <c r="D113" s="29"/>
      <c r="E113" s="29"/>
      <c r="F113" s="45"/>
      <c r="G113" s="45"/>
      <c r="H113" s="29"/>
      <c r="I113" s="29"/>
      <c r="J113" s="45"/>
      <c r="K113" s="45"/>
      <c r="L113" s="29">
        <f t="shared" si="11"/>
        <v>6600</v>
      </c>
      <c r="M113" s="29">
        <v>72.75</v>
      </c>
      <c r="N113" s="29">
        <f t="shared" si="15"/>
        <v>6527.25</v>
      </c>
      <c r="O113" s="39">
        <f t="shared" si="12"/>
        <v>6.5657795899830838E-4</v>
      </c>
    </row>
    <row r="114" spans="1:15" ht="15.95" customHeight="1" x14ac:dyDescent="0.2">
      <c r="A114" s="42" t="s">
        <v>142</v>
      </c>
      <c r="B114" s="30" t="s">
        <v>210</v>
      </c>
      <c r="C114" s="29">
        <v>4000</v>
      </c>
      <c r="D114" s="29"/>
      <c r="E114" s="29"/>
      <c r="F114" s="45"/>
      <c r="G114" s="45"/>
      <c r="H114" s="29"/>
      <c r="I114" s="29"/>
      <c r="J114" s="45"/>
      <c r="K114" s="45"/>
      <c r="L114" s="29">
        <f t="shared" si="11"/>
        <v>4000</v>
      </c>
      <c r="M114" s="29">
        <v>54.99</v>
      </c>
      <c r="N114" s="29">
        <f t="shared" si="15"/>
        <v>3945.01</v>
      </c>
      <c r="O114" s="39">
        <f t="shared" si="12"/>
        <v>4.9629171086346363E-4</v>
      </c>
    </row>
    <row r="115" spans="1:15" ht="15.95" customHeight="1" x14ac:dyDescent="0.2">
      <c r="A115" s="42" t="s">
        <v>143</v>
      </c>
      <c r="B115" s="30" t="s">
        <v>75</v>
      </c>
      <c r="C115" s="29">
        <v>25251.9</v>
      </c>
      <c r="D115" s="29"/>
      <c r="E115" s="29"/>
      <c r="F115" s="45"/>
      <c r="G115" s="45"/>
      <c r="H115" s="29"/>
      <c r="I115" s="29"/>
      <c r="J115" s="45"/>
      <c r="K115" s="45"/>
      <c r="L115" s="29">
        <f t="shared" si="11"/>
        <v>25251.9</v>
      </c>
      <c r="M115" s="29"/>
      <c r="N115" s="29">
        <f t="shared" si="15"/>
        <v>25251.9</v>
      </c>
      <c r="O115" s="39">
        <f t="shared" si="12"/>
        <v>0</v>
      </c>
    </row>
    <row r="116" spans="1:15" ht="15.95" customHeight="1" x14ac:dyDescent="0.2">
      <c r="A116" s="42" t="s">
        <v>144</v>
      </c>
      <c r="B116" s="30" t="s">
        <v>76</v>
      </c>
      <c r="C116" s="29">
        <v>2000</v>
      </c>
      <c r="D116" s="29"/>
      <c r="E116" s="29"/>
      <c r="F116" s="45"/>
      <c r="G116" s="45"/>
      <c r="H116" s="29"/>
      <c r="I116" s="29"/>
      <c r="J116" s="45"/>
      <c r="K116" s="45"/>
      <c r="L116" s="29">
        <f t="shared" si="11"/>
        <v>2000</v>
      </c>
      <c r="M116" s="29"/>
      <c r="N116" s="29">
        <f t="shared" si="15"/>
        <v>2000</v>
      </c>
      <c r="O116" s="39">
        <f t="shared" si="12"/>
        <v>0</v>
      </c>
    </row>
    <row r="117" spans="1:15" ht="15.95" customHeight="1" x14ac:dyDescent="0.2">
      <c r="A117" s="42" t="s">
        <v>145</v>
      </c>
      <c r="B117" s="30" t="s">
        <v>211</v>
      </c>
      <c r="C117" s="29">
        <v>9500</v>
      </c>
      <c r="D117" s="29"/>
      <c r="E117" s="29"/>
      <c r="F117" s="45"/>
      <c r="G117" s="45"/>
      <c r="H117" s="29"/>
      <c r="I117" s="29"/>
      <c r="J117" s="45"/>
      <c r="K117" s="45"/>
      <c r="L117" s="29">
        <f t="shared" si="11"/>
        <v>9500</v>
      </c>
      <c r="M117" s="29"/>
      <c r="N117" s="29">
        <f t="shared" si="15"/>
        <v>9500</v>
      </c>
      <c r="O117" s="39">
        <f t="shared" si="12"/>
        <v>0</v>
      </c>
    </row>
    <row r="118" spans="1:15" ht="15.95" customHeight="1" x14ac:dyDescent="0.2">
      <c r="A118" s="42" t="s">
        <v>146</v>
      </c>
      <c r="B118" s="30" t="s">
        <v>77</v>
      </c>
      <c r="C118" s="29">
        <v>76000</v>
      </c>
      <c r="D118" s="29"/>
      <c r="E118" s="29"/>
      <c r="F118" s="45"/>
      <c r="G118" s="45"/>
      <c r="H118" s="29"/>
      <c r="I118" s="29"/>
      <c r="J118" s="45"/>
      <c r="K118" s="45"/>
      <c r="L118" s="29">
        <f t="shared" si="11"/>
        <v>76000</v>
      </c>
      <c r="M118" s="29"/>
      <c r="N118" s="29">
        <f t="shared" si="15"/>
        <v>76000</v>
      </c>
      <c r="O118" s="39">
        <f t="shared" si="12"/>
        <v>0</v>
      </c>
    </row>
    <row r="119" spans="1:15" ht="15.95" customHeight="1" x14ac:dyDescent="0.2">
      <c r="A119" s="42" t="s">
        <v>147</v>
      </c>
      <c r="B119" s="30" t="s">
        <v>78</v>
      </c>
      <c r="C119" s="29">
        <v>9500</v>
      </c>
      <c r="D119" s="29"/>
      <c r="E119" s="29"/>
      <c r="F119" s="45"/>
      <c r="G119" s="45"/>
      <c r="H119" s="29"/>
      <c r="I119" s="29"/>
      <c r="J119" s="45"/>
      <c r="K119" s="45"/>
      <c r="L119" s="29">
        <f t="shared" si="11"/>
        <v>9500</v>
      </c>
      <c r="M119" s="29"/>
      <c r="N119" s="29">
        <f t="shared" si="15"/>
        <v>9500</v>
      </c>
      <c r="O119" s="39">
        <f t="shared" si="12"/>
        <v>0</v>
      </c>
    </row>
    <row r="120" spans="1:15" ht="15.95" customHeight="1" x14ac:dyDescent="0.2">
      <c r="A120" s="42"/>
      <c r="B120" s="30"/>
      <c r="C120" s="29"/>
      <c r="D120" s="29"/>
      <c r="E120" s="29"/>
      <c r="F120" s="45"/>
      <c r="G120" s="45"/>
      <c r="H120" s="29"/>
      <c r="I120" s="29"/>
      <c r="J120" s="45"/>
      <c r="K120" s="45"/>
      <c r="L120" s="29"/>
      <c r="M120" s="29"/>
      <c r="N120" s="29"/>
      <c r="O120" s="39"/>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5">
      <c r="A123" s="40">
        <v>3</v>
      </c>
      <c r="B123" s="41" t="s">
        <v>79</v>
      </c>
      <c r="C123" s="27"/>
      <c r="D123" s="29"/>
      <c r="E123" s="29"/>
      <c r="F123" s="45"/>
      <c r="G123" s="45"/>
      <c r="H123" s="29"/>
      <c r="I123" s="29"/>
      <c r="J123" s="45"/>
      <c r="K123" s="45"/>
      <c r="L123" s="29"/>
      <c r="M123" s="29"/>
      <c r="N123" s="29"/>
      <c r="O123" s="39"/>
    </row>
    <row r="124" spans="1:15" ht="15.95" customHeight="1" x14ac:dyDescent="0.2">
      <c r="A124" s="43" t="s">
        <v>212</v>
      </c>
      <c r="B124" s="44" t="s">
        <v>213</v>
      </c>
      <c r="C124" s="45">
        <v>10000</v>
      </c>
      <c r="D124" s="29"/>
      <c r="E124" s="29"/>
      <c r="F124" s="45"/>
      <c r="G124" s="45"/>
      <c r="H124" s="29"/>
      <c r="I124" s="29"/>
      <c r="J124" s="45"/>
      <c r="K124" s="45"/>
      <c r="L124" s="29">
        <f t="shared" ref="L124:L129" si="16">C124+D124-E124+F124-G124+H124+J124-K124</f>
        <v>10000</v>
      </c>
      <c r="M124" s="29"/>
      <c r="N124" s="29">
        <f t="shared" si="15"/>
        <v>10000</v>
      </c>
      <c r="O124" s="39">
        <f>M124/$M$138</f>
        <v>0</v>
      </c>
    </row>
    <row r="125" spans="1:15" ht="15.95" hidden="1" customHeight="1" x14ac:dyDescent="0.2">
      <c r="A125" s="43" t="s">
        <v>80</v>
      </c>
      <c r="B125" s="44" t="s">
        <v>214</v>
      </c>
      <c r="C125" s="45">
        <v>0</v>
      </c>
      <c r="D125" s="29"/>
      <c r="E125" s="29"/>
      <c r="F125" s="45"/>
      <c r="G125" s="45"/>
      <c r="H125" s="29"/>
      <c r="I125" s="29"/>
      <c r="J125" s="45"/>
      <c r="K125" s="45"/>
      <c r="L125" s="29">
        <f t="shared" si="16"/>
        <v>0</v>
      </c>
      <c r="M125" s="29"/>
      <c r="N125" s="29">
        <f t="shared" si="15"/>
        <v>0</v>
      </c>
      <c r="O125" s="39">
        <f>M125/$M$138</f>
        <v>0</v>
      </c>
    </row>
    <row r="126" spans="1:15" ht="15.95" customHeight="1" x14ac:dyDescent="0.2">
      <c r="A126" s="43" t="s">
        <v>215</v>
      </c>
      <c r="B126" s="44" t="s">
        <v>216</v>
      </c>
      <c r="C126" s="45">
        <v>304035</v>
      </c>
      <c r="D126" s="29"/>
      <c r="E126" s="29"/>
      <c r="F126" s="45"/>
      <c r="G126" s="45"/>
      <c r="H126" s="29"/>
      <c r="I126" s="29"/>
      <c r="J126" s="45"/>
      <c r="K126" s="45"/>
      <c r="L126" s="29">
        <f t="shared" si="16"/>
        <v>304035</v>
      </c>
      <c r="M126" s="29"/>
      <c r="N126" s="29">
        <f t="shared" si="15"/>
        <v>304035</v>
      </c>
      <c r="O126" s="39">
        <f>M126/$M$138</f>
        <v>0</v>
      </c>
    </row>
    <row r="127" spans="1:15" ht="15.95" customHeight="1" x14ac:dyDescent="0.2">
      <c r="A127" s="43" t="s">
        <v>217</v>
      </c>
      <c r="B127" s="44" t="s">
        <v>218</v>
      </c>
      <c r="C127" s="45">
        <v>1500</v>
      </c>
      <c r="D127" s="29"/>
      <c r="E127" s="29"/>
      <c r="F127" s="45"/>
      <c r="G127" s="45"/>
      <c r="H127" s="29"/>
      <c r="I127" s="29"/>
      <c r="J127" s="45"/>
      <c r="K127" s="45"/>
      <c r="L127" s="29">
        <f t="shared" si="16"/>
        <v>1500</v>
      </c>
      <c r="M127" s="29"/>
      <c r="N127" s="29">
        <f t="shared" si="15"/>
        <v>1500</v>
      </c>
      <c r="O127" s="39">
        <f>M127/$M$138</f>
        <v>0</v>
      </c>
    </row>
    <row r="128" spans="1:15" ht="15.95" customHeight="1" x14ac:dyDescent="0.2">
      <c r="A128" s="43">
        <v>328</v>
      </c>
      <c r="B128" s="44" t="s">
        <v>236</v>
      </c>
      <c r="C128" s="45">
        <v>40000</v>
      </c>
      <c r="D128" s="29"/>
      <c r="E128" s="29"/>
      <c r="F128" s="45"/>
      <c r="G128" s="45"/>
      <c r="H128" s="29"/>
      <c r="I128" s="29"/>
      <c r="J128" s="45"/>
      <c r="K128" s="45"/>
      <c r="L128" s="29">
        <f t="shared" si="16"/>
        <v>40000</v>
      </c>
      <c r="M128" s="29"/>
      <c r="N128" s="29">
        <f t="shared" si="15"/>
        <v>40000</v>
      </c>
      <c r="O128" s="39">
        <f>+M128/M138</f>
        <v>0</v>
      </c>
    </row>
    <row r="129" spans="1:15" ht="15.95" customHeight="1" x14ac:dyDescent="0.2">
      <c r="A129" s="43" t="s">
        <v>219</v>
      </c>
      <c r="B129" s="44" t="s">
        <v>220</v>
      </c>
      <c r="C129" s="45">
        <v>14300</v>
      </c>
      <c r="D129" s="29"/>
      <c r="E129" s="29"/>
      <c r="F129" s="45"/>
      <c r="G129" s="45"/>
      <c r="H129" s="29"/>
      <c r="I129" s="29"/>
      <c r="J129" s="45"/>
      <c r="K129" s="45"/>
      <c r="L129" s="29">
        <f t="shared" si="16"/>
        <v>14300</v>
      </c>
      <c r="M129" s="29"/>
      <c r="N129" s="29">
        <f t="shared" si="15"/>
        <v>14300</v>
      </c>
      <c r="O129" s="39">
        <f>M129/$M$138</f>
        <v>0</v>
      </c>
    </row>
    <row r="130" spans="1:15" ht="15.95" hidden="1" customHeight="1" x14ac:dyDescent="0.2">
      <c r="A130" s="43" t="s">
        <v>221</v>
      </c>
      <c r="B130" s="44" t="s">
        <v>222</v>
      </c>
      <c r="C130" s="45">
        <v>0</v>
      </c>
      <c r="D130" s="29"/>
      <c r="E130" s="29"/>
      <c r="F130" s="45"/>
      <c r="G130" s="45"/>
      <c r="H130" s="29"/>
      <c r="I130" s="29"/>
      <c r="J130" s="45"/>
      <c r="K130" s="45"/>
      <c r="L130" s="29">
        <f t="shared" ref="L130" si="17">C130+D130-E130+F130-G130+J130-K130</f>
        <v>0</v>
      </c>
      <c r="M130" s="29"/>
      <c r="N130" s="29">
        <f t="shared" si="15"/>
        <v>0</v>
      </c>
      <c r="O130" s="39">
        <f>M130/$M$138</f>
        <v>0</v>
      </c>
    </row>
    <row r="131" spans="1:15" ht="15.95" customHeight="1" x14ac:dyDescent="0.2">
      <c r="A131" s="43"/>
      <c r="B131" s="44"/>
      <c r="C131" s="45"/>
      <c r="D131" s="29"/>
      <c r="E131" s="29"/>
      <c r="F131" s="45"/>
      <c r="G131" s="45"/>
      <c r="H131" s="29"/>
      <c r="I131" s="29"/>
      <c r="J131" s="45"/>
      <c r="K131" s="45"/>
      <c r="L131" s="29"/>
      <c r="M131" s="29"/>
      <c r="N131" s="29"/>
      <c r="O131" s="39"/>
    </row>
    <row r="132" spans="1:15" ht="15.95" customHeight="1" x14ac:dyDescent="0.2">
      <c r="A132" s="42"/>
      <c r="B132" s="30"/>
      <c r="C132" s="29"/>
      <c r="D132" s="29"/>
      <c r="E132" s="29"/>
      <c r="F132" s="45"/>
      <c r="G132" s="45"/>
      <c r="H132" s="29"/>
      <c r="I132" s="29"/>
      <c r="J132" s="45"/>
      <c r="K132" s="45"/>
      <c r="L132" s="29"/>
      <c r="M132" s="29"/>
      <c r="N132" s="29"/>
      <c r="O132" s="39"/>
    </row>
    <row r="133" spans="1:15" ht="15.95" customHeight="1" x14ac:dyDescent="0.25">
      <c r="A133" s="40">
        <v>4</v>
      </c>
      <c r="B133" s="41" t="s">
        <v>81</v>
      </c>
      <c r="C133" s="27"/>
      <c r="D133" s="29"/>
      <c r="E133" s="29"/>
      <c r="F133" s="45"/>
      <c r="G133" s="45"/>
      <c r="H133" s="29"/>
      <c r="I133" s="29"/>
      <c r="J133" s="45"/>
      <c r="K133" s="45"/>
      <c r="L133" s="29"/>
      <c r="M133" s="29"/>
      <c r="N133" s="29"/>
      <c r="O133" s="39"/>
    </row>
    <row r="134" spans="1:15" ht="15.95" customHeight="1" x14ac:dyDescent="0.2">
      <c r="A134" s="42" t="s">
        <v>223</v>
      </c>
      <c r="B134" s="30" t="s">
        <v>82</v>
      </c>
      <c r="C134" s="29">
        <v>185900</v>
      </c>
      <c r="D134" s="29"/>
      <c r="E134" s="29"/>
      <c r="F134" s="45"/>
      <c r="G134" s="45"/>
      <c r="H134" s="29"/>
      <c r="I134" s="29"/>
      <c r="J134" s="45"/>
      <c r="K134" s="45"/>
      <c r="L134" s="29">
        <f t="shared" ref="L134:L135" si="18">C134+D134-E134+F134-G134+H134+J134-K134</f>
        <v>185900</v>
      </c>
      <c r="M134" s="29"/>
      <c r="N134" s="29">
        <f t="shared" si="15"/>
        <v>185900</v>
      </c>
      <c r="O134" s="39">
        <f>M134/$M$138</f>
        <v>0</v>
      </c>
    </row>
    <row r="135" spans="1:15" ht="15.95" customHeight="1" x14ac:dyDescent="0.2">
      <c r="A135" s="42" t="s">
        <v>224</v>
      </c>
      <c r="B135" s="30" t="s">
        <v>225</v>
      </c>
      <c r="C135" s="29">
        <v>7170</v>
      </c>
      <c r="D135" s="29"/>
      <c r="E135" s="29"/>
      <c r="F135" s="29"/>
      <c r="G135" s="29"/>
      <c r="H135" s="29"/>
      <c r="I135" s="29"/>
      <c r="J135" s="45"/>
      <c r="K135" s="45"/>
      <c r="L135" s="29">
        <f t="shared" si="18"/>
        <v>7170</v>
      </c>
      <c r="M135" s="29"/>
      <c r="N135" s="29">
        <f t="shared" si="15"/>
        <v>7170</v>
      </c>
      <c r="O135" s="39">
        <f>M135/$M$138</f>
        <v>0</v>
      </c>
    </row>
    <row r="136" spans="1:15" ht="15.95" customHeight="1" x14ac:dyDescent="0.2">
      <c r="A136" s="42" t="s">
        <v>226</v>
      </c>
      <c r="B136" s="30" t="s">
        <v>227</v>
      </c>
      <c r="C136" s="29">
        <v>70000</v>
      </c>
      <c r="D136" s="29"/>
      <c r="E136" s="29"/>
      <c r="F136" s="29"/>
      <c r="G136" s="29"/>
      <c r="H136" s="29"/>
      <c r="I136" s="29"/>
      <c r="J136" s="45"/>
      <c r="K136" s="45"/>
      <c r="L136" s="29">
        <f>C136+D136-E136+F136-G136+H136+J136-K136</f>
        <v>70000</v>
      </c>
      <c r="M136" s="29"/>
      <c r="N136" s="29">
        <f t="shared" si="15"/>
        <v>70000</v>
      </c>
      <c r="O136" s="39">
        <f>M136/$M$138</f>
        <v>0</v>
      </c>
    </row>
    <row r="137" spans="1:15" ht="15.95" customHeight="1" thickBot="1" x14ac:dyDescent="0.25">
      <c r="A137" s="42" t="s">
        <v>228</v>
      </c>
      <c r="B137" s="30" t="s">
        <v>229</v>
      </c>
      <c r="C137" s="29">
        <v>8750</v>
      </c>
      <c r="D137" s="29"/>
      <c r="E137" s="29"/>
      <c r="F137" s="29"/>
      <c r="G137" s="29"/>
      <c r="H137" s="29"/>
      <c r="I137" s="29"/>
      <c r="J137" s="45"/>
      <c r="K137" s="45"/>
      <c r="L137" s="29">
        <f t="shared" ref="L137" si="19">C137+D137-E137+F137-G137+H137+J137-K137</f>
        <v>8750</v>
      </c>
      <c r="M137" s="29"/>
      <c r="N137" s="29">
        <f t="shared" si="15"/>
        <v>8750</v>
      </c>
      <c r="O137" s="39">
        <f>M137/$M$138</f>
        <v>0</v>
      </c>
    </row>
    <row r="138" spans="1:15" ht="18" customHeight="1" thickBot="1" x14ac:dyDescent="0.3">
      <c r="A138" s="33"/>
      <c r="B138" s="34" t="s">
        <v>91</v>
      </c>
      <c r="C138" s="35">
        <f t="shared" ref="C138:N138" si="20">SUM(C31:C137)</f>
        <v>8258523.6200000001</v>
      </c>
      <c r="D138" s="35">
        <f t="shared" si="20"/>
        <v>0</v>
      </c>
      <c r="E138" s="35">
        <f t="shared" si="20"/>
        <v>0</v>
      </c>
      <c r="F138" s="35">
        <f t="shared" si="20"/>
        <v>0</v>
      </c>
      <c r="G138" s="35">
        <f t="shared" si="20"/>
        <v>0</v>
      </c>
      <c r="H138" s="35">
        <f t="shared" si="20"/>
        <v>0</v>
      </c>
      <c r="I138" s="35">
        <f t="shared" si="20"/>
        <v>0</v>
      </c>
      <c r="J138" s="65">
        <f t="shared" si="20"/>
        <v>0</v>
      </c>
      <c r="K138" s="65">
        <f t="shared" si="20"/>
        <v>0</v>
      </c>
      <c r="L138" s="35">
        <f>SUM(L31:L137)</f>
        <v>8258523.6200000001</v>
      </c>
      <c r="M138" s="35">
        <f>SUM(M31:M137)</f>
        <v>110801.77</v>
      </c>
      <c r="N138" s="35">
        <f t="shared" si="20"/>
        <v>8147721.8499999987</v>
      </c>
      <c r="O138" s="46">
        <v>1</v>
      </c>
    </row>
    <row r="139" spans="1:15" x14ac:dyDescent="0.2">
      <c r="A139" s="47"/>
      <c r="B139" s="76"/>
      <c r="C139" s="78"/>
      <c r="D139" s="77"/>
      <c r="E139" s="48"/>
      <c r="F139" s="48"/>
      <c r="G139" s="48"/>
      <c r="H139" s="48"/>
      <c r="I139" s="48"/>
      <c r="J139" s="66"/>
      <c r="K139" s="66"/>
      <c r="L139" s="48"/>
      <c r="M139" s="48"/>
      <c r="N139" s="48"/>
    </row>
    <row r="140" spans="1:15" ht="15.75" thickBot="1" x14ac:dyDescent="0.25">
      <c r="E140" s="12"/>
      <c r="F140" s="4"/>
      <c r="L140" s="15"/>
      <c r="M140" s="4"/>
    </row>
    <row r="141" spans="1:15" ht="15.75" x14ac:dyDescent="0.25">
      <c r="A141" s="1" t="s">
        <v>83</v>
      </c>
      <c r="B141" s="2"/>
      <c r="C141" s="3"/>
      <c r="D141" s="4"/>
      <c r="E141" s="4"/>
      <c r="F141" s="4"/>
      <c r="G141" s="4"/>
      <c r="H141" s="4"/>
      <c r="I141" s="4"/>
      <c r="J141" s="67"/>
      <c r="K141" s="67"/>
      <c r="L141" s="4"/>
      <c r="M141" s="4"/>
    </row>
    <row r="142" spans="1:15" ht="15.75" x14ac:dyDescent="0.25">
      <c r="A142" s="5" t="s">
        <v>2</v>
      </c>
      <c r="B142" s="6"/>
      <c r="C142" s="7"/>
      <c r="D142" s="4"/>
      <c r="E142" s="4"/>
      <c r="F142" s="4"/>
      <c r="G142" s="4"/>
      <c r="H142" s="4"/>
      <c r="I142" s="4"/>
      <c r="J142" s="67"/>
      <c r="K142" s="67"/>
      <c r="L142" s="4"/>
      <c r="M142" s="4"/>
    </row>
    <row r="143" spans="1:15" ht="5.0999999999999996" customHeight="1" thickBot="1" x14ac:dyDescent="0.25">
      <c r="A143" s="8"/>
      <c r="B143" s="9"/>
      <c r="C143" s="10"/>
      <c r="D143" s="4"/>
      <c r="E143" s="4"/>
      <c r="F143" s="4"/>
      <c r="G143" s="4"/>
      <c r="H143" s="4"/>
      <c r="I143" s="4"/>
      <c r="J143" s="67"/>
      <c r="K143" s="67"/>
      <c r="L143" s="4"/>
      <c r="M143" s="4"/>
    </row>
    <row r="144" spans="1:15" ht="6.95" customHeight="1" x14ac:dyDescent="0.2">
      <c r="A144" s="49"/>
      <c r="B144" s="50"/>
      <c r="C144" s="51"/>
      <c r="D144" s="4"/>
      <c r="E144" s="4"/>
      <c r="F144" s="4"/>
      <c r="G144" s="4"/>
      <c r="H144" s="4"/>
      <c r="I144" s="4"/>
      <c r="J144" s="67"/>
      <c r="K144" s="67"/>
      <c r="L144" s="4"/>
      <c r="M144" s="4"/>
    </row>
    <row r="145" spans="1:12" x14ac:dyDescent="0.2">
      <c r="A145" s="52" t="s">
        <v>84</v>
      </c>
      <c r="B145" s="53"/>
      <c r="C145" s="54"/>
      <c r="D145" s="4"/>
      <c r="E145" s="4"/>
      <c r="F145" s="4"/>
      <c r="G145" s="4"/>
      <c r="H145" s="4"/>
      <c r="I145" s="4"/>
      <c r="J145" s="67"/>
      <c r="K145" s="67"/>
      <c r="L145" s="4"/>
    </row>
    <row r="146" spans="1:12" x14ac:dyDescent="0.2">
      <c r="A146" s="55" t="s">
        <v>255</v>
      </c>
      <c r="B146" s="53"/>
      <c r="C146" s="70">
        <v>2534598.2200000002</v>
      </c>
      <c r="D146" s="48"/>
      <c r="E146" s="4"/>
      <c r="F146" s="4"/>
      <c r="G146" s="4"/>
      <c r="H146" s="4"/>
      <c r="I146" s="4"/>
      <c r="J146" s="67"/>
      <c r="K146" s="67"/>
      <c r="L146" s="4"/>
    </row>
    <row r="147" spans="1:12" x14ac:dyDescent="0.2">
      <c r="A147" s="55" t="s">
        <v>256</v>
      </c>
      <c r="B147" s="53"/>
      <c r="C147" s="70">
        <v>-22148.02</v>
      </c>
      <c r="D147" s="48"/>
      <c r="E147" s="4"/>
      <c r="F147" s="4"/>
      <c r="G147" s="4"/>
      <c r="H147" s="4"/>
      <c r="I147" s="4"/>
      <c r="J147" s="67"/>
      <c r="K147" s="67"/>
      <c r="L147" s="4"/>
    </row>
    <row r="148" spans="1:12" x14ac:dyDescent="0.2">
      <c r="A148" s="55" t="s">
        <v>257</v>
      </c>
      <c r="B148" s="53"/>
      <c r="C148" s="70"/>
      <c r="D148" s="48"/>
      <c r="E148" s="4"/>
      <c r="F148" s="4"/>
      <c r="G148" s="4"/>
      <c r="H148" s="4"/>
      <c r="I148" s="4"/>
      <c r="J148" s="67"/>
      <c r="K148" s="67"/>
      <c r="L148" s="4"/>
    </row>
    <row r="149" spans="1:12" x14ac:dyDescent="0.2">
      <c r="A149" s="84" t="s">
        <v>243</v>
      </c>
      <c r="B149" s="53"/>
      <c r="C149" s="70"/>
      <c r="D149" s="48"/>
      <c r="E149" s="4"/>
      <c r="F149" s="4"/>
      <c r="G149" s="4"/>
      <c r="H149" s="4"/>
      <c r="I149" s="4"/>
      <c r="J149" s="67"/>
      <c r="K149" s="67"/>
      <c r="L149" s="4"/>
    </row>
    <row r="150" spans="1:12" x14ac:dyDescent="0.2">
      <c r="A150" s="55" t="s">
        <v>85</v>
      </c>
      <c r="B150" s="53"/>
      <c r="C150" s="70">
        <f>M26</f>
        <v>339033.88</v>
      </c>
      <c r="D150" s="48"/>
      <c r="E150" s="4"/>
      <c r="F150" s="4"/>
      <c r="G150" s="4"/>
      <c r="H150" s="4"/>
      <c r="I150" s="4"/>
      <c r="J150" s="67"/>
      <c r="K150" s="67"/>
      <c r="L150" s="4"/>
    </row>
    <row r="151" spans="1:12" x14ac:dyDescent="0.2">
      <c r="A151" s="55" t="s">
        <v>86</v>
      </c>
      <c r="B151" s="53"/>
      <c r="C151" s="71">
        <f>-M138</f>
        <v>-110801.77</v>
      </c>
      <c r="D151" s="4"/>
      <c r="E151" s="4"/>
      <c r="F151" s="4"/>
      <c r="G151" s="4"/>
      <c r="H151" s="4"/>
      <c r="I151" s="4"/>
      <c r="J151" s="67"/>
      <c r="K151" s="67"/>
      <c r="L151" s="4"/>
    </row>
    <row r="152" spans="1:12" ht="15.75" x14ac:dyDescent="0.25">
      <c r="A152" s="56" t="s">
        <v>87</v>
      </c>
      <c r="B152" s="57"/>
      <c r="C152" s="72">
        <f>SUM(C146:C151)</f>
        <v>2740682.31</v>
      </c>
      <c r="D152" s="4"/>
      <c r="E152" s="4"/>
      <c r="F152" s="4"/>
      <c r="G152" s="4"/>
      <c r="H152" s="4"/>
      <c r="I152" s="4"/>
      <c r="J152" s="67"/>
      <c r="K152" s="67"/>
      <c r="L152" s="4"/>
    </row>
    <row r="153" spans="1:12" ht="15.75" x14ac:dyDescent="0.25">
      <c r="A153" s="56"/>
      <c r="B153" s="57"/>
      <c r="C153" s="72"/>
      <c r="D153" s="4"/>
      <c r="E153" s="4"/>
      <c r="F153" s="4"/>
      <c r="G153" s="4"/>
      <c r="H153" s="4"/>
      <c r="I153" s="4"/>
      <c r="J153" s="67"/>
      <c r="K153" s="67"/>
      <c r="L153" s="4"/>
    </row>
    <row r="154" spans="1:12" x14ac:dyDescent="0.2">
      <c r="A154" s="52" t="s">
        <v>88</v>
      </c>
      <c r="B154" s="53"/>
      <c r="C154" s="70"/>
      <c r="D154" s="4"/>
      <c r="E154" s="4"/>
      <c r="F154" s="4"/>
      <c r="G154" s="4"/>
      <c r="H154" s="4"/>
      <c r="I154" s="4"/>
      <c r="J154" s="67"/>
      <c r="K154" s="67"/>
      <c r="L154" s="4"/>
    </row>
    <row r="155" spans="1:12" ht="12" customHeight="1" x14ac:dyDescent="0.2">
      <c r="A155" s="55" t="s">
        <v>148</v>
      </c>
      <c r="B155" s="53"/>
      <c r="C155" s="70">
        <v>272</v>
      </c>
      <c r="D155" s="4"/>
      <c r="E155" s="4"/>
      <c r="F155" s="4"/>
      <c r="G155" s="4"/>
      <c r="H155" s="4"/>
      <c r="I155" s="4"/>
      <c r="J155" s="67"/>
      <c r="K155" s="67"/>
      <c r="L155" s="4"/>
    </row>
    <row r="156" spans="1:12" ht="12" customHeight="1" x14ac:dyDescent="0.2">
      <c r="A156" s="55" t="s">
        <v>245</v>
      </c>
      <c r="B156" s="53"/>
      <c r="C156" s="70"/>
      <c r="D156" s="4"/>
      <c r="E156" s="4"/>
      <c r="F156" s="4"/>
      <c r="G156" s="4"/>
      <c r="H156" s="4"/>
      <c r="I156" s="4"/>
      <c r="J156" s="67"/>
      <c r="K156" s="67"/>
      <c r="L156" s="4"/>
    </row>
    <row r="157" spans="1:12" ht="12" customHeight="1" x14ac:dyDescent="0.2">
      <c r="A157" s="55" t="s">
        <v>253</v>
      </c>
      <c r="B157" s="53"/>
      <c r="C157" s="70"/>
      <c r="D157" s="4"/>
      <c r="E157" s="4"/>
      <c r="F157" s="4"/>
      <c r="G157" s="4"/>
      <c r="H157" s="4"/>
      <c r="I157" s="4"/>
      <c r="J157" s="67"/>
      <c r="K157" s="67"/>
      <c r="L157" s="4"/>
    </row>
    <row r="158" spans="1:12" x14ac:dyDescent="0.2">
      <c r="A158" s="55" t="s">
        <v>151</v>
      </c>
      <c r="B158" s="53"/>
      <c r="C158" s="70">
        <f>3039.63+6536.21+530.61</f>
        <v>10106.450000000001</v>
      </c>
      <c r="D158" s="80"/>
      <c r="E158" s="4"/>
      <c r="F158" s="4"/>
      <c r="G158" s="4"/>
      <c r="H158" s="4"/>
      <c r="I158" s="4"/>
      <c r="J158" s="67"/>
      <c r="K158" s="67"/>
      <c r="L158" s="4"/>
    </row>
    <row r="159" spans="1:12" x14ac:dyDescent="0.2">
      <c r="A159" s="55" t="s">
        <v>150</v>
      </c>
      <c r="B159" s="53"/>
      <c r="C159" s="70">
        <v>2109.64</v>
      </c>
      <c r="D159" s="81"/>
      <c r="E159" s="4"/>
      <c r="F159" s="4"/>
      <c r="G159" s="4"/>
      <c r="H159" s="4"/>
      <c r="I159" s="4"/>
      <c r="J159" s="67"/>
      <c r="K159" s="67"/>
      <c r="L159" s="4"/>
    </row>
    <row r="160" spans="1:12" x14ac:dyDescent="0.2">
      <c r="A160" s="55" t="s">
        <v>149</v>
      </c>
      <c r="B160" s="53"/>
      <c r="C160" s="70">
        <v>383.29</v>
      </c>
      <c r="D160" s="81"/>
      <c r="E160" s="4"/>
      <c r="F160" s="4"/>
      <c r="G160" s="4"/>
      <c r="H160" s="4"/>
      <c r="I160" s="4"/>
      <c r="J160" s="67"/>
      <c r="K160" s="67"/>
      <c r="L160" s="4"/>
    </row>
    <row r="161" spans="1:13" x14ac:dyDescent="0.2">
      <c r="A161" s="55" t="s">
        <v>257</v>
      </c>
      <c r="B161" s="53"/>
      <c r="C161" s="70">
        <v>82.43</v>
      </c>
      <c r="D161" s="81"/>
      <c r="E161" s="4"/>
      <c r="F161" s="4"/>
      <c r="G161" s="4"/>
      <c r="H161" s="4"/>
      <c r="I161" s="4"/>
      <c r="J161" s="67"/>
      <c r="K161" s="67"/>
      <c r="L161" s="4"/>
    </row>
    <row r="162" spans="1:13" x14ac:dyDescent="0.2">
      <c r="A162" s="55" t="s">
        <v>254</v>
      </c>
      <c r="B162" s="53"/>
      <c r="C162" s="70">
        <v>-0.51</v>
      </c>
      <c r="D162" s="81"/>
      <c r="E162" s="4"/>
      <c r="F162" s="4"/>
      <c r="G162" s="4"/>
      <c r="H162" s="4"/>
      <c r="I162" s="4"/>
      <c r="J162" s="67"/>
      <c r="K162" s="67"/>
      <c r="L162" s="4"/>
    </row>
    <row r="163" spans="1:13" x14ac:dyDescent="0.2">
      <c r="A163" s="55"/>
      <c r="B163" s="53"/>
      <c r="C163" s="70"/>
      <c r="D163" s="81"/>
      <c r="E163" s="4"/>
      <c r="F163" s="4"/>
      <c r="G163" s="4"/>
      <c r="H163" s="4"/>
      <c r="I163" s="4"/>
      <c r="J163" s="67"/>
      <c r="K163" s="67"/>
      <c r="L163" s="4"/>
    </row>
    <row r="164" spans="1:13" x14ac:dyDescent="0.2">
      <c r="A164" s="55"/>
      <c r="B164" s="53"/>
      <c r="C164" s="71"/>
      <c r="D164" s="82"/>
      <c r="E164" s="83"/>
      <c r="F164" s="4"/>
      <c r="G164" s="4"/>
      <c r="H164" s="4"/>
      <c r="I164" s="4"/>
      <c r="J164" s="67"/>
      <c r="K164" s="67"/>
      <c r="L164" s="4"/>
    </row>
    <row r="165" spans="1:13" ht="15.75" x14ac:dyDescent="0.25">
      <c r="A165" s="56"/>
      <c r="B165" s="57"/>
      <c r="C165" s="72">
        <f>SUM(C155:C164)</f>
        <v>12953.300000000001</v>
      </c>
      <c r="D165" s="82"/>
      <c r="E165" s="83"/>
      <c r="F165" s="4"/>
      <c r="G165" s="4"/>
      <c r="H165" s="4"/>
      <c r="I165" s="4"/>
      <c r="J165" s="67"/>
      <c r="K165" s="67"/>
      <c r="L165" s="4"/>
    </row>
    <row r="166" spans="1:13" ht="2.1" customHeight="1" x14ac:dyDescent="0.25">
      <c r="A166" s="56"/>
      <c r="B166" s="57"/>
      <c r="C166" s="73"/>
      <c r="D166" s="81"/>
      <c r="E166" s="4"/>
      <c r="F166" s="4"/>
      <c r="G166" s="4"/>
      <c r="H166" s="4"/>
      <c r="I166" s="4"/>
      <c r="J166" s="67"/>
      <c r="K166" s="67"/>
      <c r="L166" s="4"/>
    </row>
    <row r="167" spans="1:13" x14ac:dyDescent="0.2">
      <c r="A167" s="55"/>
      <c r="B167" s="53"/>
      <c r="C167" s="70"/>
      <c r="D167" s="81"/>
      <c r="E167" s="4"/>
      <c r="F167" s="4"/>
      <c r="G167" s="4"/>
      <c r="H167" s="4"/>
      <c r="I167" s="4"/>
      <c r="J167" s="67"/>
      <c r="K167" s="67"/>
      <c r="L167" s="4"/>
    </row>
    <row r="168" spans="1:13" ht="2.1" customHeight="1" thickBot="1" x14ac:dyDescent="0.3">
      <c r="A168" s="58" t="s">
        <v>242</v>
      </c>
      <c r="B168" s="59"/>
      <c r="C168" s="69">
        <f>C152+C165</f>
        <v>2753635.61</v>
      </c>
      <c r="D168" s="80"/>
      <c r="E168" s="4"/>
      <c r="F168" s="4"/>
      <c r="G168" s="4"/>
      <c r="H168" s="4"/>
      <c r="I168" s="4"/>
      <c r="J168" s="67"/>
      <c r="K168" s="67"/>
      <c r="L168" s="4"/>
    </row>
    <row r="169" spans="1:13" ht="9.9499999999999993" customHeight="1" x14ac:dyDescent="0.2">
      <c r="A169" s="55"/>
      <c r="B169" s="53"/>
      <c r="C169" s="70"/>
      <c r="D169" s="80"/>
      <c r="E169" s="4"/>
      <c r="F169" s="4"/>
      <c r="G169" s="4"/>
      <c r="H169" s="4"/>
      <c r="I169" s="4"/>
      <c r="J169" s="67"/>
      <c r="K169" s="67"/>
      <c r="L169" s="4"/>
    </row>
    <row r="170" spans="1:13" ht="16.5" thickBot="1" x14ac:dyDescent="0.3">
      <c r="A170" s="58" t="s">
        <v>259</v>
      </c>
      <c r="B170" s="59"/>
      <c r="C170" s="69">
        <f>C152+C165</f>
        <v>2753635.61</v>
      </c>
      <c r="D170" s="82"/>
      <c r="E170" s="4"/>
      <c r="F170" s="4"/>
      <c r="G170" s="4"/>
      <c r="H170" s="4"/>
      <c r="I170" s="4"/>
      <c r="J170" s="67"/>
      <c r="K170" s="67"/>
      <c r="L170" s="4"/>
      <c r="M170" s="4"/>
    </row>
    <row r="171" spans="1:13" x14ac:dyDescent="0.2">
      <c r="A171" s="53"/>
      <c r="C171" s="4"/>
      <c r="D171" s="4"/>
      <c r="E171" s="4"/>
      <c r="F171" s="4"/>
      <c r="G171" s="4"/>
      <c r="H171" s="4"/>
      <c r="I171" s="4"/>
      <c r="J171" s="67"/>
      <c r="K171" s="67"/>
      <c r="L171" s="4"/>
    </row>
    <row r="172" spans="1:13" x14ac:dyDescent="0.2">
      <c r="C172" s="4"/>
      <c r="D172" s="4"/>
      <c r="E172" s="4"/>
    </row>
    <row r="173" spans="1:13" x14ac:dyDescent="0.2">
      <c r="C173" s="14"/>
      <c r="D173" s="4"/>
    </row>
    <row r="174" spans="1:13" x14ac:dyDescent="0.2">
      <c r="C174" s="14"/>
      <c r="D174" s="4"/>
    </row>
    <row r="175" spans="1:13" x14ac:dyDescent="0.2">
      <c r="C175" s="15"/>
      <c r="D175" s="4"/>
      <c r="I175" s="4"/>
      <c r="K175" s="67"/>
      <c r="L175" s="4"/>
    </row>
    <row r="176" spans="1:13" x14ac:dyDescent="0.2">
      <c r="C176" s="15"/>
      <c r="D176" s="4"/>
    </row>
    <row r="177" spans="2:12" x14ac:dyDescent="0.2">
      <c r="C177" s="15"/>
      <c r="D177" s="4"/>
    </row>
    <row r="178" spans="2:12" x14ac:dyDescent="0.2">
      <c r="C178" s="15"/>
      <c r="D178" s="4"/>
    </row>
    <row r="179" spans="2:12" x14ac:dyDescent="0.2">
      <c r="C179" s="15"/>
      <c r="D179" s="4"/>
    </row>
    <row r="180" spans="2:12" x14ac:dyDescent="0.2">
      <c r="D180" s="4"/>
    </row>
    <row r="181" spans="2:12" x14ac:dyDescent="0.2">
      <c r="D181" s="4"/>
    </row>
    <row r="182" spans="2:12" x14ac:dyDescent="0.2">
      <c r="B182" s="11" t="s">
        <v>240</v>
      </c>
      <c r="C182" s="13" t="s">
        <v>230</v>
      </c>
      <c r="G182" s="11" t="s">
        <v>251</v>
      </c>
      <c r="J182" s="13" t="s">
        <v>238</v>
      </c>
      <c r="K182" s="75"/>
    </row>
    <row r="183" spans="2:12" x14ac:dyDescent="0.2">
      <c r="B183" s="11" t="s">
        <v>89</v>
      </c>
      <c r="C183" s="13" t="s">
        <v>90</v>
      </c>
      <c r="G183" s="11" t="s">
        <v>252</v>
      </c>
      <c r="J183" s="11" t="s">
        <v>246</v>
      </c>
    </row>
    <row r="187" spans="2:12" x14ac:dyDescent="0.2">
      <c r="I187" s="4"/>
      <c r="K187" s="67"/>
      <c r="L187" s="4"/>
    </row>
    <row r="188" spans="2:12" x14ac:dyDescent="0.2">
      <c r="I188" s="4"/>
      <c r="K188" s="67"/>
      <c r="L188" s="4"/>
    </row>
    <row r="189" spans="2:12" x14ac:dyDescent="0.2">
      <c r="G189" s="60"/>
      <c r="I189" s="60"/>
      <c r="K189" s="68"/>
      <c r="L189" s="4"/>
    </row>
    <row r="190" spans="2:12" x14ac:dyDescent="0.2">
      <c r="G190" s="60"/>
      <c r="I190" s="60"/>
      <c r="K190" s="68"/>
      <c r="L190" s="4"/>
    </row>
    <row r="191" spans="2:12" x14ac:dyDescent="0.2">
      <c r="G191" s="60"/>
      <c r="L191" s="4"/>
    </row>
    <row r="192" spans="2:12" x14ac:dyDescent="0.2">
      <c r="G192" s="60"/>
    </row>
    <row r="193" spans="7:12" x14ac:dyDescent="0.2">
      <c r="G193" s="60"/>
    </row>
    <row r="194" spans="7:12" x14ac:dyDescent="0.2">
      <c r="G194" s="60"/>
      <c r="L194" s="4"/>
    </row>
    <row r="195" spans="7:12" x14ac:dyDescent="0.2">
      <c r="G195" s="60"/>
    </row>
    <row r="196" spans="7:12" x14ac:dyDescent="0.2">
      <c r="G196" s="60"/>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5" max="16383" man="1"/>
    <brk id="119" max="16383" man="1"/>
  </rowBreaks>
  <ignoredErrors>
    <ignoredError sqref="M26"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029E2-E7A6-4C45-B8A7-8732DB791F54}">
  <dimension ref="A1:O208"/>
  <sheetViews>
    <sheetView topLeftCell="A13" zoomScaleNormal="100" workbookViewId="0">
      <selection activeCell="H37" sqref="H37"/>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12800+3800+2400-400+200+1200+400+1600+200+1200</f>
        <v>23400</v>
      </c>
      <c r="N10" s="29">
        <f t="shared" ref="N10:N22" si="1">L10-M10</f>
        <v>13600</v>
      </c>
      <c r="O10" s="28">
        <f>M10/$M$26</f>
        <v>4.925773560320164E-3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28839+1312.5+117.7+8.16</f>
        <v>30277.360000000001</v>
      </c>
      <c r="N12" s="29">
        <f t="shared" si="1"/>
        <v>222.63999999999942</v>
      </c>
      <c r="O12" s="28">
        <f>M12/$M$26</f>
        <v>6.3734794600126213E-3</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1350.3+2998.52+1574.78+1480.71+2979.46+1449.6+1385.24+1275.36</f>
        <v>14493.970000000001</v>
      </c>
      <c r="N15" s="29">
        <f t="shared" si="1"/>
        <v>-5693.9700000000012</v>
      </c>
      <c r="O15" s="28">
        <f>M15/$M$26</f>
        <v>3.0510262482937459E-3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324883.58+265491.21+249714.95+249714.95+249714.95+296154.05+311633.76+249714.95+288414.21+358072.86</f>
        <v>2843509.4699999997</v>
      </c>
      <c r="N18" s="29">
        <f t="shared" si="1"/>
        <v>826440.05000000028</v>
      </c>
      <c r="O18" s="28">
        <f>M18/$M$26</f>
        <v>0.59856768230111124</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258799.62+537471.09+518983.35+214618.4-23767.9-68260.18+400997.7</f>
        <v>1838842.08</v>
      </c>
      <c r="N20" s="29">
        <f t="shared" si="1"/>
        <v>65333.799999999814</v>
      </c>
      <c r="O20" s="28">
        <f>M20/$M$26</f>
        <v>0.38708203843026223</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4750522.88</v>
      </c>
      <c r="N26" s="35">
        <f t="shared" si="2"/>
        <v>3508000.74</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62931.76+63078.14+63078.14+63431.24-823.9+59547.14+59547.14+60135.64+63078.14+63078.14+63078.14</f>
        <v>620159.72</v>
      </c>
      <c r="N31" s="29">
        <f t="shared" ref="N31:N100" si="3">L31-M31</f>
        <v>179412.32000000007</v>
      </c>
      <c r="O31" s="39">
        <f>M31/$M$139</f>
        <v>0.15819250815595037</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1125+1125+1125+1125+1125+1125+1125+1125+1125+1125</f>
        <v>11250</v>
      </c>
      <c r="N32" s="29">
        <f t="shared" si="3"/>
        <v>2450</v>
      </c>
      <c r="O32" s="39">
        <f>M32/$M$139</f>
        <v>2.8696893064168076E-3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21149+21149+21149+21000.64+19849+22380.68+21247.79+22440.75+21149+21149</f>
        <v>212663.86000000002</v>
      </c>
      <c r="N33" s="29">
        <f t="shared" si="3"/>
        <v>98436.139999999985</v>
      </c>
      <c r="O33" s="39">
        <f>M33/$M$139</f>
        <v>5.4247040435850769E-2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f>1080+1800+2700+1440</f>
        <v>7020</v>
      </c>
      <c r="N36" s="29">
        <f t="shared" si="3"/>
        <v>10480</v>
      </c>
      <c r="O36" s="39">
        <f t="shared" ref="O36:O42" si="5">M36/$M$139</f>
        <v>1.7906861272040881E-3</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3669.23+3812.08+1678.08+1537.98+3962.93+106.83+2379.94</f>
        <v>17147.07</v>
      </c>
      <c r="N37" s="29">
        <f t="shared" si="3"/>
        <v>17363.730000000003</v>
      </c>
      <c r="O37" s="39">
        <f t="shared" si="5"/>
        <v>4.373934525811596E-3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6536.21+6924.6+7121.94+7174.86+6909.49+6894.54+7178.39+6730.44+6741.84+6984.38</f>
        <v>69196.69</v>
      </c>
      <c r="N38" s="29">
        <f t="shared" si="3"/>
        <v>18204.459999999992</v>
      </c>
      <c r="O38" s="39">
        <f t="shared" si="5"/>
        <v>1.7650933451772342E-2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587.53+672.57+667.47+672.43+647.56+646.16+672.76+630.78+631.85+654.58</f>
        <v>6483.69</v>
      </c>
      <c r="N39" s="29">
        <f t="shared" si="3"/>
        <v>1707.1500000000005</v>
      </c>
      <c r="O39" s="39">
        <f t="shared" si="5"/>
        <v>1.6538822985885859E-3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v>919.03</v>
      </c>
      <c r="N40" s="29">
        <f t="shared" si="3"/>
        <v>66661.98</v>
      </c>
      <c r="O40" s="39">
        <f t="shared" si="5"/>
        <v>2.3442938340233234E-4</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v>64600.41</v>
      </c>
      <c r="N41" s="29">
        <f t="shared" si="3"/>
        <v>2980.5999999999913</v>
      </c>
      <c r="O41" s="39">
        <f t="shared" si="5"/>
        <v>1.647849829041257E-2</v>
      </c>
    </row>
    <row r="42" spans="1:15" ht="15.95" customHeight="1" x14ac:dyDescent="0.2">
      <c r="A42" s="42" t="s">
        <v>47</v>
      </c>
      <c r="B42" s="30" t="s">
        <v>48</v>
      </c>
      <c r="C42" s="29">
        <v>4400</v>
      </c>
      <c r="D42" s="29"/>
      <c r="E42" s="29"/>
      <c r="F42" s="45"/>
      <c r="G42" s="45"/>
      <c r="H42" s="29"/>
      <c r="I42" s="29"/>
      <c r="J42" s="45"/>
      <c r="K42" s="45"/>
      <c r="L42" s="29">
        <f t="shared" si="4"/>
        <v>4400</v>
      </c>
      <c r="M42" s="29">
        <v>104.11</v>
      </c>
      <c r="N42" s="29">
        <f t="shared" si="3"/>
        <v>4295.8900000000003</v>
      </c>
      <c r="O42" s="39">
        <f t="shared" si="5"/>
        <v>2.6556742550315897E-5</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530.61+1202.11+1310.83+1071.3+1507.98+1507.98+1349.52+1511.74+1342.22+1299.83</f>
        <v>12634.119999999999</v>
      </c>
      <c r="N46" s="29">
        <f t="shared" si="3"/>
        <v>1115.880000000001</v>
      </c>
      <c r="O46" s="39">
        <f t="shared" ref="O46:O55" si="7">M46/$M$139</f>
        <v>3.2227554719988193E-3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4693.76+608+615.86+618+618+618+622.2+618+618+618</f>
        <v>10247.82</v>
      </c>
      <c r="N47" s="29">
        <f t="shared" si="3"/>
        <v>15852.18</v>
      </c>
      <c r="O47" s="39">
        <f t="shared" si="7"/>
        <v>2.6140497304963815E-3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7.8055549134537167E-4</v>
      </c>
    </row>
    <row r="50" spans="1:15" ht="15.95" customHeight="1" x14ac:dyDescent="0.2">
      <c r="A50" s="42" t="s">
        <v>96</v>
      </c>
      <c r="B50" s="30" t="s">
        <v>161</v>
      </c>
      <c r="C50" s="29">
        <v>14250</v>
      </c>
      <c r="D50" s="29"/>
      <c r="E50" s="29"/>
      <c r="F50" s="45"/>
      <c r="G50" s="45"/>
      <c r="H50" s="29"/>
      <c r="I50" s="29"/>
      <c r="J50" s="45"/>
      <c r="K50" s="45"/>
      <c r="L50" s="29">
        <f t="shared" si="6"/>
        <v>14250</v>
      </c>
      <c r="M50" s="29">
        <f>18.9+13.5+13.5+152.35+18.9+138.2+3349+697+2132.4+2284.5</f>
        <v>8818.25</v>
      </c>
      <c r="N50" s="29">
        <f t="shared" si="3"/>
        <v>5431.75</v>
      </c>
      <c r="O50" s="39">
        <f t="shared" si="7"/>
        <v>2.2493900201164458E-3</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f>90330.35+113542.08+268095.07+71420.35</f>
        <v>543387.85</v>
      </c>
      <c r="N51" s="29">
        <f t="shared" si="3"/>
        <v>74453.699999999953</v>
      </c>
      <c r="O51" s="39">
        <f t="shared" si="7"/>
        <v>0.13860927132282846</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f>2894.44+80982.64+132982.32+7555.83+155976.29+72328.67</f>
        <v>452720.19</v>
      </c>
      <c r="N52" s="29">
        <f t="shared" si="3"/>
        <v>111022.50999999995</v>
      </c>
      <c r="O52" s="39">
        <f t="shared" si="7"/>
        <v>0.11548144782595426</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29413.01+7189.7+7639.88+133891.61+29801.07+80892.52+96093.47+136968.41</f>
        <v>521889.67000000004</v>
      </c>
      <c r="N53" s="29">
        <f t="shared" si="3"/>
        <v>-20904.300000000047</v>
      </c>
      <c r="O53" s="39">
        <f t="shared" si="7"/>
        <v>0.1331254404558575</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v>9300</v>
      </c>
      <c r="N54" s="29">
        <f t="shared" si="3"/>
        <v>40700</v>
      </c>
      <c r="O54" s="39">
        <f t="shared" si="7"/>
        <v>2.3722764933045612E-3</v>
      </c>
    </row>
    <row r="55" spans="1:15" ht="15.95" customHeight="1" x14ac:dyDescent="0.2">
      <c r="A55" s="42" t="s">
        <v>101</v>
      </c>
      <c r="B55" s="30" t="s">
        <v>55</v>
      </c>
      <c r="C55" s="29">
        <v>75000</v>
      </c>
      <c r="D55" s="29"/>
      <c r="E55" s="29"/>
      <c r="F55" s="45"/>
      <c r="G55" s="45"/>
      <c r="H55" s="29"/>
      <c r="I55" s="29"/>
      <c r="J55" s="45"/>
      <c r="K55" s="45"/>
      <c r="L55" s="29">
        <f>C55+D55-E55+F55-G55+H55+J55-I55-K55</f>
        <v>75000</v>
      </c>
      <c r="M55" s="29">
        <v>5700</v>
      </c>
      <c r="N55" s="29">
        <f t="shared" si="3"/>
        <v>69300</v>
      </c>
      <c r="O55" s="39">
        <f t="shared" si="7"/>
        <v>1.4539759152511825E-3</v>
      </c>
    </row>
    <row r="56" spans="1:15" ht="15.95" customHeight="1" x14ac:dyDescent="0.2">
      <c r="A56" s="42">
        <v>151</v>
      </c>
      <c r="B56" s="30" t="s">
        <v>249</v>
      </c>
      <c r="C56" s="29">
        <v>90000</v>
      </c>
      <c r="D56" s="29"/>
      <c r="E56" s="29"/>
      <c r="F56" s="45"/>
      <c r="G56" s="45"/>
      <c r="H56" s="29"/>
      <c r="I56" s="29"/>
      <c r="J56" s="45"/>
      <c r="K56" s="45"/>
      <c r="L56" s="29">
        <f t="shared" si="6"/>
        <v>90000</v>
      </c>
      <c r="M56" s="29">
        <f>11250+11250+11250+11250+11250+11250</f>
        <v>67500</v>
      </c>
      <c r="N56" s="29">
        <f t="shared" si="3"/>
        <v>22500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1.0713506743956081E-3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3600+750+5500</f>
        <v>9850</v>
      </c>
      <c r="N59" s="29">
        <f t="shared" si="3"/>
        <v>-2100</v>
      </c>
      <c r="O59" s="39">
        <f t="shared" si="8"/>
        <v>2.512572414951605E-3</v>
      </c>
    </row>
    <row r="60" spans="1:15" ht="15.95" customHeight="1" x14ac:dyDescent="0.2">
      <c r="A60" s="42" t="s">
        <v>105</v>
      </c>
      <c r="B60" s="30" t="s">
        <v>166</v>
      </c>
      <c r="C60" s="29">
        <v>7000</v>
      </c>
      <c r="D60" s="29"/>
      <c r="E60" s="29"/>
      <c r="F60" s="45"/>
      <c r="G60" s="45"/>
      <c r="H60" s="29"/>
      <c r="I60" s="29"/>
      <c r="J60" s="45"/>
      <c r="K60" s="45"/>
      <c r="L60" s="29">
        <f t="shared" si="6"/>
        <v>7000</v>
      </c>
      <c r="M60" s="29">
        <f>10354.57+530.59</f>
        <v>10885.16</v>
      </c>
      <c r="N60" s="29">
        <f t="shared" si="3"/>
        <v>-3885.16</v>
      </c>
      <c r="O60" s="39">
        <f t="shared" si="8"/>
        <v>2.7766246445009757E-3</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4.2343859988016897E-4</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4500+4500+4500+4500+4500+4500+4500+4500+4500+4500</f>
        <v>45000</v>
      </c>
      <c r="N68" s="29">
        <f t="shared" si="3"/>
        <v>9000</v>
      </c>
      <c r="O68" s="39">
        <f t="shared" si="9"/>
        <v>1.1478757225667231E-2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4500+4500+4500+4500+4500+4500+4500+4500+4500+4500</f>
        <v>45000</v>
      </c>
      <c r="N69" s="29">
        <f t="shared" si="3"/>
        <v>9000</v>
      </c>
      <c r="O69" s="39">
        <f t="shared" si="9"/>
        <v>1.1478757225667231E-2</v>
      </c>
    </row>
    <row r="70" spans="1:15" ht="15.95" customHeight="1" x14ac:dyDescent="0.2">
      <c r="A70" s="42" t="s">
        <v>112</v>
      </c>
      <c r="B70" s="30" t="s">
        <v>57</v>
      </c>
      <c r="C70" s="29">
        <v>7500</v>
      </c>
      <c r="D70" s="29"/>
      <c r="E70" s="29"/>
      <c r="F70" s="45"/>
      <c r="G70" s="45"/>
      <c r="H70" s="29"/>
      <c r="I70" s="29"/>
      <c r="J70" s="45"/>
      <c r="K70" s="45"/>
      <c r="L70" s="29">
        <f t="shared" si="6"/>
        <v>7500</v>
      </c>
      <c r="M70" s="29">
        <f>117.6+235.2</f>
        <v>352.79999999999995</v>
      </c>
      <c r="N70" s="29">
        <f t="shared" si="3"/>
        <v>7147.2</v>
      </c>
      <c r="O70" s="39">
        <f t="shared" si="9"/>
        <v>8.9993456649231074E-5</v>
      </c>
    </row>
    <row r="71" spans="1:15" ht="15.95" customHeight="1" x14ac:dyDescent="0.2">
      <c r="A71" s="42" t="s">
        <v>113</v>
      </c>
      <c r="B71" s="30" t="s">
        <v>173</v>
      </c>
      <c r="C71" s="29">
        <v>24540</v>
      </c>
      <c r="D71" s="29"/>
      <c r="E71" s="29"/>
      <c r="F71" s="45"/>
      <c r="G71" s="45"/>
      <c r="H71" s="29"/>
      <c r="I71" s="29"/>
      <c r="J71" s="45"/>
      <c r="K71" s="45"/>
      <c r="L71" s="29">
        <f t="shared" si="6"/>
        <v>24540</v>
      </c>
      <c r="M71" s="29">
        <v>117.6</v>
      </c>
      <c r="N71" s="29">
        <f t="shared" si="3"/>
        <v>24422.400000000001</v>
      </c>
      <c r="O71" s="39">
        <f t="shared" si="9"/>
        <v>2.999781888307703E-5</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1500+70267.86+117000.9+24486.58+24517.72+70585.29+23608.68+23587.65+52359.01</f>
        <v>407913.69000000006</v>
      </c>
      <c r="N72" s="29">
        <f t="shared" si="3"/>
        <v>455386.30999999994</v>
      </c>
      <c r="O72" s="39">
        <f t="shared" si="9"/>
        <v>0.10405204925635742</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50.36+50.33+106.36+56.35+56.36+213.37+212.85+56.36+283.15+51.57</f>
        <v>1137.0600000000002</v>
      </c>
      <c r="N76" s="29">
        <f t="shared" si="3"/>
        <v>1362.9399999999998</v>
      </c>
      <c r="O76" s="39">
        <f t="shared" si="9"/>
        <v>2.9004523757815962E-4</v>
      </c>
    </row>
    <row r="77" spans="1:15" ht="15.95" customHeight="1" x14ac:dyDescent="0.2">
      <c r="A77" s="42" t="s">
        <v>119</v>
      </c>
      <c r="B77" s="30" t="s">
        <v>59</v>
      </c>
      <c r="C77" s="29">
        <v>125000</v>
      </c>
      <c r="D77" s="29"/>
      <c r="E77" s="29"/>
      <c r="F77" s="45"/>
      <c r="G77" s="45"/>
      <c r="H77" s="29"/>
      <c r="I77" s="29"/>
      <c r="J77" s="45"/>
      <c r="K77" s="45"/>
      <c r="L77" s="29">
        <f t="shared" si="6"/>
        <v>125000</v>
      </c>
      <c r="M77" s="29">
        <f>35.1+230.2+54994.3+28491.72</f>
        <v>83751.320000000007</v>
      </c>
      <c r="N77" s="29">
        <f t="shared" si="3"/>
        <v>41248.679999999993</v>
      </c>
      <c r="O77" s="39">
        <f t="shared" si="9"/>
        <v>2.1363579324648191E-2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v>1750</v>
      </c>
      <c r="N78" s="29">
        <f t="shared" si="3"/>
        <v>48250</v>
      </c>
      <c r="O78" s="39">
        <f t="shared" si="9"/>
        <v>4.4639611433150341E-4</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55+100.4+3468.75+29477.11+820+34324.93+125</f>
        <v>68371.19</v>
      </c>
      <c r="N80" s="29">
        <f t="shared" si="3"/>
        <v>-17371.190000000002</v>
      </c>
      <c r="O80" s="39">
        <f t="shared" si="9"/>
        <v>1.7440362027554824E-2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1296.25+4358.7+1692.8+1826.15+2712.7+2435.7+13281.7+1545.3+3572.95+1655</f>
        <v>34377.25</v>
      </c>
      <c r="N84" s="29">
        <f t="shared" si="3"/>
        <v>112406.85</v>
      </c>
      <c r="O84" s="39">
        <f t="shared" ref="O84:O120" si="12">M84/$M$139</f>
        <v>8.7690690408015297E-3</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v>252.5</v>
      </c>
      <c r="N86" s="29">
        <f t="shared" si="3"/>
        <v>1747.5</v>
      </c>
      <c r="O86" s="39">
        <f t="shared" si="12"/>
        <v>6.4408582210688349E-5</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f>752+10750+13545</f>
        <v>25047</v>
      </c>
      <c r="N89" s="29">
        <f t="shared" si="3"/>
        <v>8753</v>
      </c>
      <c r="O89" s="39">
        <f t="shared" si="12"/>
        <v>6.3890762718063808E-3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485+485+485+485+359.7+583+485+4.5</f>
        <v>3372.2</v>
      </c>
      <c r="N90" s="29">
        <f t="shared" si="3"/>
        <v>1877.8000000000002</v>
      </c>
      <c r="O90" s="39">
        <f t="shared" si="12"/>
        <v>8.6019255814211192E-4</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906.45+36+1516.82+23.75+960.55+835.85+43.75+1103.94+23.75+551.97</f>
        <v>6002.8300000000008</v>
      </c>
      <c r="N91" s="29">
        <f t="shared" si="3"/>
        <v>4497.1699999999992</v>
      </c>
      <c r="O91" s="39">
        <f t="shared" si="12"/>
        <v>1.5312228497100452E-3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660.7+141.3+103+244.8+223.2</f>
        <v>1373</v>
      </c>
      <c r="N92" s="29">
        <f t="shared" si="3"/>
        <v>1677</v>
      </c>
      <c r="O92" s="39">
        <f t="shared" si="12"/>
        <v>3.5022963712980239E-4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f>23.5+23.5+23.5+29</f>
        <v>99.5</v>
      </c>
      <c r="N96" s="29">
        <f t="shared" si="3"/>
        <v>2700.5</v>
      </c>
      <c r="O96" s="39">
        <f t="shared" si="12"/>
        <v>2.5380807643419768E-5</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270+340.02+1364.45+745+1028.98+290.05+1492.34+1126.25+615+1136.29</f>
        <v>8408.380000000001</v>
      </c>
      <c r="N97" s="29">
        <f t="shared" si="3"/>
        <v>91.619999999998981</v>
      </c>
      <c r="O97" s="39">
        <f t="shared" si="12"/>
        <v>2.1448389484701297E-3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862.5+340+218.4+362+940.4+218.4+1875</f>
        <v>4816.7000000000007</v>
      </c>
      <c r="N99" s="29">
        <f t="shared" si="3"/>
        <v>12683.3</v>
      </c>
      <c r="O99" s="39">
        <f t="shared" si="12"/>
        <v>1.2286606650860302E-3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67.75+182.63+3.55+237.64+423.48+1967.44+332.62+113.8+378.78</f>
        <v>3707.6899999999996</v>
      </c>
      <c r="N100" s="29">
        <f t="shared" si="3"/>
        <v>-707.6899999999996</v>
      </c>
      <c r="O100" s="39">
        <f t="shared" si="12"/>
        <v>9.4577051951186958E-4</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1.6478393706180068E-4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f>203220.76+86151.08+1351.52</f>
        <v>290723.36000000004</v>
      </c>
      <c r="N102" s="29">
        <f t="shared" si="15"/>
        <v>309276.63999999996</v>
      </c>
      <c r="O102" s="39">
        <f t="shared" si="12"/>
        <v>7.4158730428227917E-2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v>567</v>
      </c>
      <c r="N105" s="29">
        <f t="shared" si="15"/>
        <v>933</v>
      </c>
      <c r="O105" s="39">
        <f t="shared" si="12"/>
        <v>1.4463234104340712E-4</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16.52+71.1+1324.95+68+647.69</f>
        <v>2128.2600000000002</v>
      </c>
      <c r="N109" s="29">
        <f t="shared" si="15"/>
        <v>2671.74</v>
      </c>
      <c r="O109" s="39">
        <f t="shared" si="12"/>
        <v>5.4288399673552319E-4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f>73800+13360</f>
        <v>87160</v>
      </c>
      <c r="N111" s="29">
        <f t="shared" si="15"/>
        <v>1212840</v>
      </c>
      <c r="O111" s="39">
        <f t="shared" si="12"/>
        <v>2.2233077328647908E-2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75+59+201.5+465.64</f>
        <v>801.14</v>
      </c>
      <c r="N112" s="29">
        <f t="shared" si="15"/>
        <v>698.86</v>
      </c>
      <c r="O112" s="39">
        <f t="shared" si="12"/>
        <v>2.0435759030602323E-4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72.75+278.7+70.45+304+137.25+125.2+826.3+108.3+67.2</f>
        <v>1990.15</v>
      </c>
      <c r="N114" s="29">
        <f t="shared" si="15"/>
        <v>4609.8500000000004</v>
      </c>
      <c r="O114" s="39">
        <f t="shared" si="12"/>
        <v>5.076544153924809E-4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54.99+178.05+82.2+61.98+62.8+573.25+320.78+184.85+275.4</f>
        <v>1794.2999999999997</v>
      </c>
      <c r="N115" s="29">
        <f t="shared" si="15"/>
        <v>2205.7000000000003</v>
      </c>
      <c r="O115" s="39">
        <f t="shared" si="12"/>
        <v>4.5769631311143799E-4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8.8003805396782108E-5</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753.25+778.43+66.49</f>
        <v>1598.1699999999998</v>
      </c>
      <c r="N117" s="29">
        <f t="shared" si="15"/>
        <v>401.83000000000015</v>
      </c>
      <c r="O117" s="39">
        <f t="shared" si="12"/>
        <v>4.0766678745210216E-4</v>
      </c>
    </row>
    <row r="118" spans="1:15" ht="15.95" customHeight="1" x14ac:dyDescent="0.2">
      <c r="A118" s="42" t="s">
        <v>145</v>
      </c>
      <c r="B118" s="30" t="s">
        <v>211</v>
      </c>
      <c r="C118" s="29">
        <v>9500</v>
      </c>
      <c r="D118" s="29"/>
      <c r="E118" s="29"/>
      <c r="F118" s="45"/>
      <c r="G118" s="45"/>
      <c r="H118" s="29"/>
      <c r="I118" s="29"/>
      <c r="J118" s="45"/>
      <c r="K118" s="45"/>
      <c r="L118" s="29">
        <f t="shared" si="11"/>
        <v>9500</v>
      </c>
      <c r="M118" s="29">
        <f>45.7+130</f>
        <v>175.7</v>
      </c>
      <c r="N118" s="29">
        <f t="shared" si="15"/>
        <v>9324.2999999999993</v>
      </c>
      <c r="O118" s="39">
        <f t="shared" si="12"/>
        <v>4.4818169878882944E-5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f>145+21234.9</f>
        <v>21379.9</v>
      </c>
      <c r="N119" s="29">
        <f t="shared" si="15"/>
        <v>78620.100000000006</v>
      </c>
      <c r="O119" s="39">
        <f t="shared" si="12"/>
        <v>5.4536595913120631E-3</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42+186.6+322.03+426.75+171.8+295+3370</f>
        <v>4814.18</v>
      </c>
      <c r="N120" s="29">
        <f t="shared" si="15"/>
        <v>4685.82</v>
      </c>
      <c r="O120" s="39">
        <f t="shared" si="12"/>
        <v>1.2280178546813928E-3</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7.6509743161480657E-4</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1.0306367979336361E-2</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6.0561923122620306E-3</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v>1036.46</v>
      </c>
      <c r="N135" s="29">
        <f t="shared" si="15"/>
        <v>184863.54</v>
      </c>
      <c r="O135" s="39">
        <f>M135/$M$139</f>
        <v>2.6438383809144572E-4</v>
      </c>
    </row>
    <row r="136" spans="1:15" ht="15.95" customHeight="1" x14ac:dyDescent="0.2">
      <c r="A136" s="42" t="s">
        <v>224</v>
      </c>
      <c r="B136" s="30" t="s">
        <v>225</v>
      </c>
      <c r="C136" s="29">
        <v>7170</v>
      </c>
      <c r="D136" s="29"/>
      <c r="E136" s="29"/>
      <c r="F136" s="29"/>
      <c r="G136" s="29"/>
      <c r="H136" s="29"/>
      <c r="I136" s="29"/>
      <c r="J136" s="45"/>
      <c r="K136" s="45"/>
      <c r="L136" s="29">
        <f t="shared" si="18"/>
        <v>7170</v>
      </c>
      <c r="M136" s="29">
        <v>706.2</v>
      </c>
      <c r="N136" s="29">
        <f t="shared" si="15"/>
        <v>6463.8</v>
      </c>
      <c r="O136" s="39">
        <f>M136/$M$139</f>
        <v>1.8013996339480442E-4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1000+1500+1500+1500+1500+1500+1500+1500</f>
        <v>11500</v>
      </c>
      <c r="N137" s="29">
        <f t="shared" si="15"/>
        <v>58500</v>
      </c>
      <c r="O137" s="39">
        <f>M137/$M$139</f>
        <v>2.9334601798927367E-3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v>2461.75</v>
      </c>
      <c r="N138" s="29">
        <f t="shared" si="15"/>
        <v>6288.25</v>
      </c>
      <c r="O138" s="39">
        <f>M138/$M$139</f>
        <v>6.2795179111747347E-4</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3920285.0199999996</v>
      </c>
      <c r="N139" s="35">
        <f t="shared" si="20"/>
        <v>4338238.5999999996</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c r="D151" s="48"/>
      <c r="E151" s="4"/>
      <c r="F151" s="4"/>
      <c r="G151" s="4"/>
      <c r="H151" s="4"/>
      <c r="I151" s="4"/>
      <c r="J151" s="67"/>
      <c r="K151" s="67"/>
      <c r="L151" s="4"/>
    </row>
    <row r="152" spans="1:13" x14ac:dyDescent="0.2">
      <c r="A152" s="55" t="s">
        <v>85</v>
      </c>
      <c r="B152" s="53"/>
      <c r="C152" s="70">
        <f>M26</f>
        <v>4750522.88</v>
      </c>
      <c r="D152" s="48"/>
      <c r="E152" s="4"/>
      <c r="F152" s="4"/>
      <c r="G152" s="4"/>
      <c r="H152" s="4"/>
      <c r="I152" s="4"/>
      <c r="J152" s="67"/>
      <c r="K152" s="67"/>
      <c r="L152" s="4"/>
    </row>
    <row r="153" spans="1:13" x14ac:dyDescent="0.2">
      <c r="A153" s="55" t="s">
        <v>86</v>
      </c>
      <c r="B153" s="53"/>
      <c r="C153" s="71">
        <f>-M139</f>
        <v>-3920285.0199999996</v>
      </c>
      <c r="D153" s="4"/>
      <c r="E153" s="4"/>
      <c r="F153" s="4"/>
      <c r="G153" s="4"/>
      <c r="H153" s="4"/>
      <c r="I153" s="4"/>
      <c r="J153" s="67"/>
      <c r="K153" s="67"/>
      <c r="L153" s="4"/>
    </row>
    <row r="154" spans="1:13" ht="15.75" x14ac:dyDescent="0.25">
      <c r="A154" s="56" t="s">
        <v>87</v>
      </c>
      <c r="B154" s="57"/>
      <c r="C154" s="72">
        <f>SUM(C147:C153)</f>
        <v>3342688.0600000005</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5657.04</v>
      </c>
      <c r="D159" s="4"/>
      <c r="E159" s="4"/>
      <c r="F159" s="4"/>
      <c r="G159" s="4"/>
      <c r="H159" s="4"/>
      <c r="I159" s="4"/>
      <c r="J159" s="67"/>
      <c r="K159" s="67"/>
      <c r="L159" s="4"/>
    </row>
    <row r="160" spans="1:13" x14ac:dyDescent="0.2">
      <c r="A160" s="55" t="s">
        <v>151</v>
      </c>
      <c r="B160" s="53"/>
      <c r="C160" s="70">
        <f>6984.38+3161.62+654.58+34.11</f>
        <v>10834.69</v>
      </c>
      <c r="D160" s="80"/>
      <c r="E160" s="4"/>
      <c r="F160" s="4"/>
      <c r="G160" s="4"/>
      <c r="H160" s="4"/>
      <c r="I160" s="4"/>
      <c r="J160" s="67"/>
      <c r="K160" s="67"/>
      <c r="L160" s="4"/>
    </row>
    <row r="161" spans="1:13" x14ac:dyDescent="0.2">
      <c r="A161" s="55" t="s">
        <v>150</v>
      </c>
      <c r="B161" s="53"/>
      <c r="C161" s="70">
        <v>1885.14</v>
      </c>
      <c r="D161" s="81"/>
      <c r="E161" s="4"/>
      <c r="F161" s="4"/>
      <c r="G161" s="4"/>
      <c r="H161" s="4"/>
      <c r="I161" s="4"/>
      <c r="J161" s="67"/>
      <c r="K161" s="67"/>
      <c r="L161" s="4"/>
    </row>
    <row r="162" spans="1:13" x14ac:dyDescent="0.2">
      <c r="A162" s="55" t="s">
        <v>149</v>
      </c>
      <c r="B162" s="53"/>
      <c r="C162" s="70">
        <f>4278.21+2357.1</f>
        <v>6635.3099999999995</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261</v>
      </c>
      <c r="B164" s="53"/>
      <c r="C164" s="70">
        <v>0.4</v>
      </c>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25284.58</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3367972.6400000006</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274</v>
      </c>
      <c r="B172" s="59"/>
      <c r="C172" s="69">
        <f>C154+C167</f>
        <v>3367972.6400000006</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85" t="s">
        <v>240</v>
      </c>
      <c r="C184" s="86" t="s">
        <v>230</v>
      </c>
      <c r="G184" s="85" t="s">
        <v>271</v>
      </c>
      <c r="J184" s="86" t="s">
        <v>272</v>
      </c>
      <c r="K184" s="75"/>
    </row>
    <row r="185" spans="2:12" x14ac:dyDescent="0.2">
      <c r="B185" s="85" t="s">
        <v>89</v>
      </c>
      <c r="C185" s="86" t="s">
        <v>90</v>
      </c>
      <c r="G185" s="85" t="s">
        <v>252</v>
      </c>
      <c r="J185" s="85"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8DFC-C5A7-414E-98F7-BA8F1EC4BEFC}">
  <dimension ref="A1:O208"/>
  <sheetViews>
    <sheetView zoomScaleNormal="100" workbookViewId="0">
      <selection activeCell="A4" sqref="A4"/>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287</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12800+3800+2400-400+200+1200+400+1600+200+1200+5650</f>
        <v>29050</v>
      </c>
      <c r="N10" s="29">
        <f t="shared" ref="N10:N22" si="1">L10-M10</f>
        <v>7950</v>
      </c>
      <c r="O10" s="28">
        <f>M10/$M$26</f>
        <v>5.3318709653968717E-3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28839+1312.5+117.7+8.16</f>
        <v>30277.360000000001</v>
      </c>
      <c r="N12" s="29">
        <f t="shared" si="1"/>
        <v>222.63999999999942</v>
      </c>
      <c r="O12" s="28">
        <f>M12/$M$26</f>
        <v>5.5571420548319664E-3</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v>10000</v>
      </c>
      <c r="I15" s="29"/>
      <c r="J15" s="45"/>
      <c r="K15" s="45"/>
      <c r="L15" s="29">
        <f>C15+D15-E15+F15-G15+H15+J15-K15</f>
        <v>18800</v>
      </c>
      <c r="M15" s="29">
        <f>1350.3+2998.52+1574.78+1480.71+2979.46+1449.6+1385.24+1275.36+513.4</f>
        <v>15007.37</v>
      </c>
      <c r="N15" s="29">
        <f t="shared" si="1"/>
        <v>3792.6299999999992</v>
      </c>
      <c r="O15" s="28">
        <f>M15/$M$26</f>
        <v>2.7544702364877124E-3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v>10000</v>
      </c>
      <c r="J18" s="45"/>
      <c r="K18" s="45"/>
      <c r="L18" s="29">
        <f>C18+D18-E18+F18-G18+J18-I18-K18</f>
        <v>3659949.52</v>
      </c>
      <c r="M18" s="29">
        <f>324883.58+265491.21+249714.95+249714.95+249714.95+296154.05+311633.76+249714.95+288414.21+358072.86+342593.16</f>
        <v>3186102.63</v>
      </c>
      <c r="N18" s="29">
        <f t="shared" si="1"/>
        <v>473846.89000000013</v>
      </c>
      <c r="O18" s="28">
        <f>M18/$M$26</f>
        <v>0.58478100191640658</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258799.62+537471.09+518983.35+214618.4-23767.9-68260.18+400997.7+349089.47</f>
        <v>2187931.5499999998</v>
      </c>
      <c r="N20" s="29">
        <f t="shared" si="1"/>
        <v>-283755.66999999993</v>
      </c>
      <c r="O20" s="28">
        <f>M20/$M$26</f>
        <v>0.40157551482687681</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10000</v>
      </c>
      <c r="I26" s="35">
        <f t="shared" si="2"/>
        <v>10000</v>
      </c>
      <c r="J26" s="35">
        <f t="shared" si="2"/>
        <v>0</v>
      </c>
      <c r="K26" s="35">
        <f t="shared" si="2"/>
        <v>0</v>
      </c>
      <c r="L26" s="35">
        <f t="shared" si="2"/>
        <v>8258523.6200000001</v>
      </c>
      <c r="M26" s="35">
        <f>SUM(M10:M25)</f>
        <v>5448368.9100000001</v>
      </c>
      <c r="N26" s="35">
        <f t="shared" si="2"/>
        <v>2810154.71</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62931.76+63078.14+63078.14+63431.24-823.9+59547.14+59547.14+60135.64+63078.14+63078.14+63078.14+63078.14</f>
        <v>683237.86</v>
      </c>
      <c r="N31" s="29">
        <f t="shared" ref="N31:N100" si="3">L31-M31</f>
        <v>116334.18000000005</v>
      </c>
      <c r="O31" s="39">
        <f>M31/$M$139</f>
        <v>0.15091777851788865</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1125+1125+1125+1125+1125+1125+1125+1125+1125+1125+1125</f>
        <v>12375</v>
      </c>
      <c r="N32" s="29">
        <f t="shared" si="3"/>
        <v>1325</v>
      </c>
      <c r="O32" s="39">
        <f>M32/$M$139</f>
        <v>2.7334660716238296E-3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21149+21149+21149+21000.64+19849+22380.68+21247.79+22440.75+21149+21149+21149</f>
        <v>233812.86000000002</v>
      </c>
      <c r="N33" s="29">
        <f t="shared" si="3"/>
        <v>77287.139999999985</v>
      </c>
      <c r="O33" s="39">
        <f>M33/$M$139</f>
        <v>5.1646021811663237E-2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v>60500</v>
      </c>
      <c r="J35" s="45"/>
      <c r="K35" s="45"/>
      <c r="L35" s="29">
        <f>C35+D35-E35+F35-G35+H35-I35+J35-K35</f>
        <v>93500</v>
      </c>
      <c r="M35" s="29"/>
      <c r="N35" s="29">
        <f t="shared" si="3"/>
        <v>93500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f>1080+1800+2700+1440+2700</f>
        <v>9720</v>
      </c>
      <c r="N36" s="29">
        <f t="shared" si="3"/>
        <v>7780</v>
      </c>
      <c r="O36" s="39">
        <f t="shared" ref="O36:O42" si="5">M36/$M$139</f>
        <v>2.1470133508027173E-3</v>
      </c>
    </row>
    <row r="37" spans="1:15" ht="15.95" customHeight="1" x14ac:dyDescent="0.2">
      <c r="A37" s="42" t="s">
        <v>41</v>
      </c>
      <c r="B37" s="30" t="s">
        <v>156</v>
      </c>
      <c r="C37" s="29">
        <v>34510.800000000003</v>
      </c>
      <c r="D37" s="29"/>
      <c r="E37" s="29"/>
      <c r="F37" s="45"/>
      <c r="G37" s="45"/>
      <c r="H37" s="29">
        <v>10000</v>
      </c>
      <c r="I37" s="29"/>
      <c r="J37" s="45"/>
      <c r="K37" s="45"/>
      <c r="L37" s="29">
        <f t="shared" si="4"/>
        <v>44510.8</v>
      </c>
      <c r="M37" s="29">
        <f>3669.23+3812.08+1678.08+1537.98+3962.93+106.83+2379.94+3458.56</f>
        <v>20605.63</v>
      </c>
      <c r="N37" s="29">
        <f t="shared" si="3"/>
        <v>23905.170000000002</v>
      </c>
      <c r="O37" s="39">
        <f t="shared" si="5"/>
        <v>4.5514982213684151E-3</v>
      </c>
    </row>
    <row r="38" spans="1:15" ht="15.95" customHeight="1" x14ac:dyDescent="0.2">
      <c r="A38" s="42" t="s">
        <v>42</v>
      </c>
      <c r="B38" s="30" t="s">
        <v>157</v>
      </c>
      <c r="C38" s="29">
        <v>87401.15</v>
      </c>
      <c r="D38" s="29"/>
      <c r="E38" s="29"/>
      <c r="F38" s="45"/>
      <c r="G38" s="45"/>
      <c r="H38" s="29">
        <v>3000</v>
      </c>
      <c r="I38" s="29"/>
      <c r="J38" s="45"/>
      <c r="K38" s="45"/>
      <c r="L38" s="29">
        <f t="shared" si="4"/>
        <v>90401.15</v>
      </c>
      <c r="M38" s="29">
        <f>6536.21+6924.6+7121.94+7174.86+6909.49+6894.54+7178.39+6730.44+6741.84+6984.38+7099.47</f>
        <v>76296.160000000003</v>
      </c>
      <c r="N38" s="29">
        <f t="shared" si="3"/>
        <v>14104.989999999991</v>
      </c>
      <c r="O38" s="39">
        <f t="shared" si="5"/>
        <v>1.6852764828701673E-2</v>
      </c>
    </row>
    <row r="39" spans="1:15" ht="15.95" customHeight="1" x14ac:dyDescent="0.2">
      <c r="A39" s="42" t="s">
        <v>43</v>
      </c>
      <c r="B39" s="30" t="s">
        <v>158</v>
      </c>
      <c r="C39" s="29">
        <v>8190.84</v>
      </c>
      <c r="D39" s="29"/>
      <c r="E39" s="29"/>
      <c r="F39" s="45"/>
      <c r="G39" s="45"/>
      <c r="H39" s="29">
        <v>1500</v>
      </c>
      <c r="I39" s="29"/>
      <c r="J39" s="45"/>
      <c r="K39" s="45"/>
      <c r="L39" s="29">
        <f t="shared" si="4"/>
        <v>9690.84</v>
      </c>
      <c r="M39" s="29">
        <f>587.53+672.57+667.47+672.43+647.56+646.16+672.76+630.78+631.85+654.58+665.37</f>
        <v>7149.0599999999995</v>
      </c>
      <c r="N39" s="29">
        <f t="shared" si="3"/>
        <v>2541.7800000000007</v>
      </c>
      <c r="O39" s="39">
        <f t="shared" si="5"/>
        <v>1.5791283195153985E-3</v>
      </c>
    </row>
    <row r="40" spans="1:15" ht="15.95" customHeight="1" x14ac:dyDescent="0.2">
      <c r="A40" s="42" t="s">
        <v>44</v>
      </c>
      <c r="B40" s="30" t="s">
        <v>45</v>
      </c>
      <c r="C40" s="29">
        <v>67581.009999999995</v>
      </c>
      <c r="D40" s="29"/>
      <c r="E40" s="29"/>
      <c r="F40" s="45"/>
      <c r="G40" s="45"/>
      <c r="H40" s="29">
        <v>8000</v>
      </c>
      <c r="I40" s="29"/>
      <c r="J40" s="45"/>
      <c r="K40" s="45"/>
      <c r="L40" s="29">
        <f t="shared" si="4"/>
        <v>75581.009999999995</v>
      </c>
      <c r="M40" s="29">
        <v>919.03</v>
      </c>
      <c r="N40" s="29">
        <f t="shared" si="3"/>
        <v>74661.98</v>
      </c>
      <c r="O40" s="39">
        <f t="shared" si="5"/>
        <v>2.0300099586298572E-4</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v>64600.41</v>
      </c>
      <c r="N41" s="29">
        <f t="shared" si="3"/>
        <v>2980.5999999999913</v>
      </c>
      <c r="O41" s="39">
        <f t="shared" si="5"/>
        <v>1.426933567256475E-2</v>
      </c>
    </row>
    <row r="42" spans="1:15" ht="15.95" customHeight="1" x14ac:dyDescent="0.2">
      <c r="A42" s="42" t="s">
        <v>47</v>
      </c>
      <c r="B42" s="30" t="s">
        <v>48</v>
      </c>
      <c r="C42" s="29">
        <v>4400</v>
      </c>
      <c r="D42" s="29"/>
      <c r="E42" s="29"/>
      <c r="F42" s="45"/>
      <c r="G42" s="45"/>
      <c r="H42" s="29">
        <v>1000</v>
      </c>
      <c r="I42" s="29"/>
      <c r="J42" s="45"/>
      <c r="K42" s="45"/>
      <c r="L42" s="29">
        <f t="shared" si="4"/>
        <v>5400</v>
      </c>
      <c r="M42" s="29">
        <v>104.11</v>
      </c>
      <c r="N42" s="29">
        <f t="shared" si="3"/>
        <v>5295.89</v>
      </c>
      <c r="O42" s="39">
        <f t="shared" si="5"/>
        <v>2.2996456785192477E-5</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v>8000</v>
      </c>
      <c r="I46" s="29"/>
      <c r="J46" s="45"/>
      <c r="K46" s="45"/>
      <c r="L46" s="29">
        <f t="shared" ref="L46:L80" si="6">C46+D46-E46+F46-G46+H46+J46-K46</f>
        <v>21750</v>
      </c>
      <c r="M46" s="29">
        <f>530.61+1202.11+1310.83+1071.3+1507.98+1507.98+1349.52+1511.74+1342.22+1299.83+1060.31</f>
        <v>13694.429999999998</v>
      </c>
      <c r="N46" s="29">
        <f t="shared" si="3"/>
        <v>8055.5700000000015</v>
      </c>
      <c r="O46" s="39">
        <f t="shared" ref="O46:O55" si="7">M46/$M$139</f>
        <v>3.0249098808264661E-3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4693.76+608+615.86+618+618+618+622.2+618+618+618+618</f>
        <v>10865.82</v>
      </c>
      <c r="N47" s="29">
        <f t="shared" si="3"/>
        <v>15234.18</v>
      </c>
      <c r="O47" s="39">
        <f t="shared" si="7"/>
        <v>2.4001091159896277E-3</v>
      </c>
    </row>
    <row r="48" spans="1:15" ht="15.95" customHeight="1" x14ac:dyDescent="0.2">
      <c r="A48" s="42" t="s">
        <v>94</v>
      </c>
      <c r="B48" s="30" t="s">
        <v>52</v>
      </c>
      <c r="C48" s="29">
        <v>2000</v>
      </c>
      <c r="D48" s="29"/>
      <c r="E48" s="29"/>
      <c r="F48" s="45"/>
      <c r="G48" s="45"/>
      <c r="H48" s="29"/>
      <c r="I48" s="29"/>
      <c r="J48" s="45"/>
      <c r="K48" s="45"/>
      <c r="L48" s="29">
        <f t="shared" si="6"/>
        <v>2000</v>
      </c>
      <c r="M48" s="29">
        <v>204.33</v>
      </c>
      <c r="N48" s="29">
        <f t="shared" si="3"/>
        <v>1795.67</v>
      </c>
      <c r="O48" s="39">
        <f t="shared" si="7"/>
        <v>4.5133666457769468E-5</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6.7591161043789247E-4</v>
      </c>
    </row>
    <row r="50" spans="1:15" ht="15.95" customHeight="1" x14ac:dyDescent="0.2">
      <c r="A50" s="42" t="s">
        <v>96</v>
      </c>
      <c r="B50" s="30" t="s">
        <v>161</v>
      </c>
      <c r="C50" s="29">
        <v>14250</v>
      </c>
      <c r="D50" s="29"/>
      <c r="E50" s="29"/>
      <c r="F50" s="45"/>
      <c r="G50" s="45"/>
      <c r="H50" s="29">
        <v>6000</v>
      </c>
      <c r="I50" s="29"/>
      <c r="J50" s="45"/>
      <c r="K50" s="45"/>
      <c r="L50" s="29">
        <f>C50+D50-E50+F50-G50+H50+J50-K50</f>
        <v>20250</v>
      </c>
      <c r="M50" s="29">
        <f>18.9+13.5+13.5+152.35+18.9+138.2+3349+697+2132.4+2284.5+3285</f>
        <v>12103.25</v>
      </c>
      <c r="N50" s="29">
        <f t="shared" si="3"/>
        <v>8146.75</v>
      </c>
      <c r="O50" s="39">
        <f t="shared" si="7"/>
        <v>2.6734402611217063E-3</v>
      </c>
    </row>
    <row r="51" spans="1:15" ht="15.95" customHeight="1" x14ac:dyDescent="0.2">
      <c r="A51" s="42" t="s">
        <v>97</v>
      </c>
      <c r="B51" s="30" t="s">
        <v>162</v>
      </c>
      <c r="C51" s="29">
        <v>673088.47</v>
      </c>
      <c r="D51" s="29"/>
      <c r="E51" s="29"/>
      <c r="F51" s="45">
        <v>323970.59999999998</v>
      </c>
      <c r="G51" s="45">
        <v>379217.52</v>
      </c>
      <c r="H51" s="29">
        <v>425000</v>
      </c>
      <c r="I51" s="29"/>
      <c r="J51" s="45"/>
      <c r="K51" s="45"/>
      <c r="L51" s="29">
        <f>C51+D51-E51+F51-G51+H51-I51+J51-K51</f>
        <v>1042841.5499999999</v>
      </c>
      <c r="M51" s="29">
        <f>90330.35+113542.08+268095.07+71420.35+84924.06</f>
        <v>628311.90999999992</v>
      </c>
      <c r="N51" s="29">
        <f t="shared" si="3"/>
        <v>414529.64</v>
      </c>
      <c r="O51" s="39">
        <f t="shared" si="7"/>
        <v>0.13878539704098303</v>
      </c>
    </row>
    <row r="52" spans="1:15" ht="15.95" customHeight="1" x14ac:dyDescent="0.2">
      <c r="A52" s="42" t="s">
        <v>98</v>
      </c>
      <c r="B52" s="30" t="s">
        <v>53</v>
      </c>
      <c r="C52" s="29">
        <v>563742.69999999995</v>
      </c>
      <c r="D52" s="29"/>
      <c r="E52" s="29"/>
      <c r="F52" s="45"/>
      <c r="G52" s="45"/>
      <c r="H52" s="29">
        <v>450000</v>
      </c>
      <c r="I52" s="29"/>
      <c r="J52" s="45"/>
      <c r="K52" s="45"/>
      <c r="L52" s="29">
        <f>C52+D52-E52+F52-G52+H52+J52-K52</f>
        <v>1013742.7</v>
      </c>
      <c r="M52" s="29">
        <f>2894.44+80982.64+132982.32+7555.83+155976.29+72328.67+146355.09</f>
        <v>599075.28</v>
      </c>
      <c r="N52" s="29">
        <f t="shared" si="3"/>
        <v>414667.41999999993</v>
      </c>
      <c r="O52" s="39">
        <f t="shared" si="7"/>
        <v>0.13232743048311482</v>
      </c>
    </row>
    <row r="53" spans="1:15" ht="15.95" customHeight="1" x14ac:dyDescent="0.2">
      <c r="A53" s="42" t="s">
        <v>99</v>
      </c>
      <c r="B53" s="30" t="s">
        <v>163</v>
      </c>
      <c r="C53" s="29">
        <v>500985.37</v>
      </c>
      <c r="D53" s="29"/>
      <c r="E53" s="29"/>
      <c r="F53" s="45"/>
      <c r="G53" s="45"/>
      <c r="H53" s="29">
        <v>230000</v>
      </c>
      <c r="I53" s="29"/>
      <c r="J53" s="45"/>
      <c r="K53" s="45"/>
      <c r="L53" s="29">
        <f>C53+D53-E53+F53-G53+H53+J53-K53</f>
        <v>730985.37</v>
      </c>
      <c r="M53" s="29">
        <f>29413.01+7189.7+7639.88+133891.61+29801.07+80892.52+96093.47+136968.41</f>
        <v>521889.67000000004</v>
      </c>
      <c r="N53" s="29">
        <f t="shared" si="3"/>
        <v>209095.69999999995</v>
      </c>
      <c r="O53" s="39">
        <f t="shared" si="7"/>
        <v>0.11527819847078441</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f>9300+18250</f>
        <v>27550</v>
      </c>
      <c r="N54" s="29">
        <f t="shared" si="3"/>
        <v>22450</v>
      </c>
      <c r="O54" s="39">
        <f t="shared" si="7"/>
        <v>6.085413355413051E-3</v>
      </c>
    </row>
    <row r="55" spans="1:15" ht="15.95" customHeight="1" x14ac:dyDescent="0.2">
      <c r="A55" s="42" t="s">
        <v>101</v>
      </c>
      <c r="B55" s="30" t="s">
        <v>55</v>
      </c>
      <c r="C55" s="29">
        <v>75000</v>
      </c>
      <c r="D55" s="29"/>
      <c r="E55" s="29"/>
      <c r="F55" s="45"/>
      <c r="G55" s="45"/>
      <c r="H55" s="29"/>
      <c r="I55" s="29"/>
      <c r="J55" s="45"/>
      <c r="K55" s="45"/>
      <c r="L55" s="29">
        <f>C55+D55-E55+F55-G55+H55+J55-I55-K55</f>
        <v>75000</v>
      </c>
      <c r="M55" s="29">
        <f>5700+31799.27</f>
        <v>37499.270000000004</v>
      </c>
      <c r="N55" s="29">
        <f t="shared" si="3"/>
        <v>37500.729999999996</v>
      </c>
      <c r="O55" s="39">
        <f t="shared" si="7"/>
        <v>8.2830692731847549E-3</v>
      </c>
    </row>
    <row r="56" spans="1:15" ht="15.95" customHeight="1" x14ac:dyDescent="0.2">
      <c r="A56" s="42">
        <v>151</v>
      </c>
      <c r="B56" s="30" t="s">
        <v>249</v>
      </c>
      <c r="C56" s="29">
        <v>90000</v>
      </c>
      <c r="D56" s="29"/>
      <c r="E56" s="29"/>
      <c r="F56" s="45"/>
      <c r="G56" s="45"/>
      <c r="H56" s="29">
        <v>3000</v>
      </c>
      <c r="I56" s="29"/>
      <c r="J56" s="45"/>
      <c r="K56" s="45"/>
      <c r="L56" s="29">
        <f t="shared" si="6"/>
        <v>93000</v>
      </c>
      <c r="M56" s="29">
        <f>11250+11250+11250+11250+11250+11250+11250</f>
        <v>78750</v>
      </c>
      <c r="N56" s="29">
        <f t="shared" si="3"/>
        <v>14250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9.2772181824808772E-4</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v>25000</v>
      </c>
      <c r="I59" s="29"/>
      <c r="J59" s="45"/>
      <c r="K59" s="45"/>
      <c r="L59" s="29">
        <f t="shared" si="6"/>
        <v>32750</v>
      </c>
      <c r="M59" s="29">
        <f>3600+750+5500+3700</f>
        <v>13550</v>
      </c>
      <c r="N59" s="29">
        <f t="shared" si="3"/>
        <v>19200</v>
      </c>
      <c r="O59" s="39">
        <f t="shared" si="8"/>
        <v>2.9930072945860923E-3</v>
      </c>
    </row>
    <row r="60" spans="1:15" ht="15.95" customHeight="1" x14ac:dyDescent="0.2">
      <c r="A60" s="42" t="s">
        <v>105</v>
      </c>
      <c r="B60" s="30" t="s">
        <v>166</v>
      </c>
      <c r="C60" s="29">
        <v>7000</v>
      </c>
      <c r="D60" s="29"/>
      <c r="E60" s="29"/>
      <c r="F60" s="45"/>
      <c r="G60" s="45"/>
      <c r="H60" s="29">
        <v>10000</v>
      </c>
      <c r="I60" s="29"/>
      <c r="J60" s="45"/>
      <c r="K60" s="45"/>
      <c r="L60" s="29">
        <f t="shared" si="6"/>
        <v>17000</v>
      </c>
      <c r="M60" s="29">
        <f>10354.57+530.59+233.7</f>
        <v>11118.86</v>
      </c>
      <c r="N60" s="29">
        <f t="shared" si="3"/>
        <v>5881.1399999999994</v>
      </c>
      <c r="O60" s="39">
        <f t="shared" si="8"/>
        <v>2.4560021466776029E-3</v>
      </c>
    </row>
    <row r="61" spans="1:15" ht="15.95" customHeight="1" x14ac:dyDescent="0.2">
      <c r="A61" s="42" t="s">
        <v>106</v>
      </c>
      <c r="B61" s="30" t="s">
        <v>167</v>
      </c>
      <c r="C61" s="29">
        <v>14000</v>
      </c>
      <c r="D61" s="29"/>
      <c r="E61" s="29"/>
      <c r="F61" s="45"/>
      <c r="G61" s="45"/>
      <c r="H61" s="29"/>
      <c r="I61" s="29"/>
      <c r="J61" s="45"/>
      <c r="K61" s="45"/>
      <c r="L61" s="29">
        <f t="shared" si="6"/>
        <v>14000</v>
      </c>
      <c r="M61" s="29">
        <f>500+1160+7250</f>
        <v>8910</v>
      </c>
      <c r="N61" s="29">
        <f t="shared" si="3"/>
        <v>5090</v>
      </c>
      <c r="O61" s="39">
        <f t="shared" si="8"/>
        <v>1.9680955715691575E-3</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v>1000</v>
      </c>
      <c r="I68" s="29"/>
      <c r="J68" s="45"/>
      <c r="K68" s="45"/>
      <c r="L68" s="29">
        <f t="shared" si="6"/>
        <v>55000</v>
      </c>
      <c r="M68" s="29">
        <f>4500+4500+4500+4500+4500+4500+4500+4500+4500+4500+4500</f>
        <v>49500</v>
      </c>
      <c r="N68" s="29">
        <f t="shared" si="3"/>
        <v>5500</v>
      </c>
      <c r="O68" s="39">
        <f t="shared" si="9"/>
        <v>1.0933864286495319E-2</v>
      </c>
    </row>
    <row r="69" spans="1:15" ht="15.95" customHeight="1" x14ac:dyDescent="0.2">
      <c r="A69" s="42" t="s">
        <v>111</v>
      </c>
      <c r="B69" s="30" t="s">
        <v>172</v>
      </c>
      <c r="C69" s="29">
        <v>54000</v>
      </c>
      <c r="D69" s="29"/>
      <c r="E69" s="29"/>
      <c r="F69" s="45"/>
      <c r="G69" s="45"/>
      <c r="H69" s="29">
        <v>1000</v>
      </c>
      <c r="I69" s="29"/>
      <c r="J69" s="45"/>
      <c r="K69" s="45"/>
      <c r="L69" s="29">
        <f t="shared" si="6"/>
        <v>55000</v>
      </c>
      <c r="M69" s="29">
        <f>4500+4500+4500+4500+4500+4500+4500+4500+4500+4500+4500</f>
        <v>49500</v>
      </c>
      <c r="N69" s="29">
        <f t="shared" si="3"/>
        <v>5500</v>
      </c>
      <c r="O69" s="39">
        <f t="shared" si="9"/>
        <v>1.0933864286495319E-2</v>
      </c>
    </row>
    <row r="70" spans="1:15" ht="15.95" customHeight="1" x14ac:dyDescent="0.2">
      <c r="A70" s="42" t="s">
        <v>112</v>
      </c>
      <c r="B70" s="30" t="s">
        <v>57</v>
      </c>
      <c r="C70" s="29">
        <v>7500</v>
      </c>
      <c r="D70" s="29"/>
      <c r="E70" s="29"/>
      <c r="F70" s="45"/>
      <c r="G70" s="45"/>
      <c r="H70" s="29"/>
      <c r="I70" s="29"/>
      <c r="J70" s="45"/>
      <c r="K70" s="45"/>
      <c r="L70" s="29">
        <f t="shared" si="6"/>
        <v>7500</v>
      </c>
      <c r="M70" s="29">
        <f>117.6+235.2</f>
        <v>352.79999999999995</v>
      </c>
      <c r="N70" s="29">
        <f t="shared" si="3"/>
        <v>7147.2</v>
      </c>
      <c r="O70" s="39">
        <f t="shared" si="9"/>
        <v>7.7928632732839352E-5</v>
      </c>
    </row>
    <row r="71" spans="1:15" ht="15.95" customHeight="1" x14ac:dyDescent="0.2">
      <c r="A71" s="42" t="s">
        <v>113</v>
      </c>
      <c r="B71" s="30" t="s">
        <v>173</v>
      </c>
      <c r="C71" s="29">
        <v>24540</v>
      </c>
      <c r="D71" s="29"/>
      <c r="E71" s="29"/>
      <c r="F71" s="45"/>
      <c r="G71" s="45"/>
      <c r="H71" s="29"/>
      <c r="I71" s="29"/>
      <c r="J71" s="45"/>
      <c r="K71" s="45"/>
      <c r="L71" s="29">
        <f t="shared" si="6"/>
        <v>24540</v>
      </c>
      <c r="M71" s="29">
        <f>117.6+14500</f>
        <v>14617.6</v>
      </c>
      <c r="N71" s="29">
        <f t="shared" si="3"/>
        <v>9922.4</v>
      </c>
      <c r="O71" s="39">
        <f t="shared" si="9"/>
        <v>3.2288253453388685E-3</v>
      </c>
    </row>
    <row r="72" spans="1:15" ht="15.95" customHeight="1" x14ac:dyDescent="0.2">
      <c r="A72" s="42" t="s">
        <v>114</v>
      </c>
      <c r="B72" s="30" t="s">
        <v>174</v>
      </c>
      <c r="C72" s="29">
        <v>863300</v>
      </c>
      <c r="D72" s="29"/>
      <c r="E72" s="29"/>
      <c r="F72" s="45"/>
      <c r="G72" s="45"/>
      <c r="H72" s="29"/>
      <c r="I72" s="29">
        <v>300000</v>
      </c>
      <c r="J72" s="45"/>
      <c r="K72" s="45"/>
      <c r="L72" s="29">
        <f>C72+D72-E72+F72-G72+H72-I72+J72-K72</f>
        <v>563300</v>
      </c>
      <c r="M72" s="29">
        <f>1500+70267.86+117000.9+24486.58+24517.72+70585.29+23608.68+23587.65+52359.01+93486.16</f>
        <v>501399.85000000009</v>
      </c>
      <c r="N72" s="29">
        <f t="shared" si="3"/>
        <v>61900.149999999907</v>
      </c>
      <c r="O72" s="39">
        <f t="shared" si="9"/>
        <v>0.11075228107412345</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v>4097.5</v>
      </c>
      <c r="N75" s="29">
        <f t="shared" si="3"/>
        <v>4152.5</v>
      </c>
      <c r="O75" s="39">
        <f t="shared" si="9"/>
        <v>9.0508098815989034E-4</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50.36+50.33+106.36+56.35+56.36+213.37+212.85+56.36+283.15+51.57+50.35</f>
        <v>1187.4100000000001</v>
      </c>
      <c r="N76" s="29">
        <f t="shared" si="3"/>
        <v>1312.59</v>
      </c>
      <c r="O76" s="39">
        <f t="shared" si="9"/>
        <v>2.6228242004903854E-4</v>
      </c>
    </row>
    <row r="77" spans="1:15" ht="15.95" customHeight="1" x14ac:dyDescent="0.2">
      <c r="A77" s="42" t="s">
        <v>119</v>
      </c>
      <c r="B77" s="30" t="s">
        <v>59</v>
      </c>
      <c r="C77" s="29">
        <v>125000</v>
      </c>
      <c r="D77" s="29"/>
      <c r="E77" s="29"/>
      <c r="F77" s="45"/>
      <c r="G77" s="45"/>
      <c r="H77" s="29"/>
      <c r="I77" s="29"/>
      <c r="J77" s="45"/>
      <c r="K77" s="45"/>
      <c r="L77" s="29">
        <f t="shared" si="6"/>
        <v>125000</v>
      </c>
      <c r="M77" s="29">
        <f>35.1+230.2+54994.3+28491.72+25078.32</f>
        <v>108829.64000000001</v>
      </c>
      <c r="N77" s="29">
        <f t="shared" si="3"/>
        <v>16170.359999999986</v>
      </c>
      <c r="O77" s="39">
        <f t="shared" si="9"/>
        <v>2.4038959880972578E-2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f>1750+1065</f>
        <v>2815</v>
      </c>
      <c r="N78" s="29">
        <f t="shared" si="3"/>
        <v>47185</v>
      </c>
      <c r="O78" s="39">
        <f t="shared" si="9"/>
        <v>6.2179450437342069E-4</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v>50000</v>
      </c>
      <c r="I80" s="29"/>
      <c r="J80" s="45"/>
      <c r="K80" s="45"/>
      <c r="L80" s="29">
        <f t="shared" si="6"/>
        <v>101000</v>
      </c>
      <c r="M80" s="29">
        <f>55+100.4+3468.75+29477.11+820+34324.93+125+24435.87</f>
        <v>92807.06</v>
      </c>
      <c r="N80" s="29">
        <f t="shared" si="3"/>
        <v>8192.9400000000023</v>
      </c>
      <c r="O80" s="39">
        <f t="shared" si="9"/>
        <v>2.0499793916537945E-2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1296.25+4358.7+1692.8+1826.15+2712.7+2435.7+13281.7+1545.3+3572.95+1655+17385.05</f>
        <v>51762.3</v>
      </c>
      <c r="N84" s="29">
        <f t="shared" si="3"/>
        <v>95021.8</v>
      </c>
      <c r="O84" s="39">
        <f t="shared" ref="O84:O120" si="12">M84/$M$139</f>
        <v>1.1433575017310236E-2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v>252.5</v>
      </c>
      <c r="N86" s="29">
        <f t="shared" si="3"/>
        <v>1747.5</v>
      </c>
      <c r="O86" s="39">
        <f t="shared" si="12"/>
        <v>5.5773752168486224E-5</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v>240</v>
      </c>
      <c r="N88" s="29">
        <f t="shared" si="3"/>
        <v>4760</v>
      </c>
      <c r="O88" s="39">
        <f t="shared" si="12"/>
        <v>5.3012675328462151E-5</v>
      </c>
    </row>
    <row r="89" spans="1:15" ht="15.95" customHeight="1" x14ac:dyDescent="0.2">
      <c r="A89" s="42" t="s">
        <v>124</v>
      </c>
      <c r="B89" s="30" t="s">
        <v>63</v>
      </c>
      <c r="C89" s="29">
        <v>33800</v>
      </c>
      <c r="D89" s="29"/>
      <c r="E89" s="29"/>
      <c r="F89" s="45"/>
      <c r="G89" s="45"/>
      <c r="H89" s="29"/>
      <c r="I89" s="29"/>
      <c r="J89" s="45"/>
      <c r="K89" s="45"/>
      <c r="L89" s="29">
        <f t="shared" si="11"/>
        <v>33800</v>
      </c>
      <c r="M89" s="29">
        <f>752+10750+13545</f>
        <v>25047</v>
      </c>
      <c r="N89" s="29">
        <f t="shared" si="3"/>
        <v>8753</v>
      </c>
      <c r="O89" s="39">
        <f t="shared" si="12"/>
        <v>5.5325353289666316E-3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485+485+485+485+359.7+583+485+4.5+439</f>
        <v>3811.2</v>
      </c>
      <c r="N90" s="29">
        <f t="shared" si="3"/>
        <v>1438.8000000000002</v>
      </c>
      <c r="O90" s="39">
        <f t="shared" si="12"/>
        <v>8.4184128421597895E-4</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906.45+36+1516.82+23.75+960.55+835.85+43.75+1103.94+23.75+551.97+1195.29</f>
        <v>7198.1200000000008</v>
      </c>
      <c r="N91" s="29">
        <f t="shared" si="3"/>
        <v>3301.8799999999992</v>
      </c>
      <c r="O91" s="39">
        <f t="shared" si="12"/>
        <v>1.5899649938971251E-3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660.7+141.3+103+244.8+223.2</f>
        <v>1373</v>
      </c>
      <c r="N92" s="29">
        <f t="shared" si="3"/>
        <v>1677</v>
      </c>
      <c r="O92" s="39">
        <f t="shared" si="12"/>
        <v>3.0327668010824392E-4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v>71.66</v>
      </c>
      <c r="N95" s="29">
        <f t="shared" si="3"/>
        <v>2628.34</v>
      </c>
      <c r="O95" s="39">
        <f t="shared" si="12"/>
        <v>1.5828701308489991E-5</v>
      </c>
    </row>
    <row r="96" spans="1:15" ht="15.95" customHeight="1" x14ac:dyDescent="0.2">
      <c r="A96" s="42" t="s">
        <v>197</v>
      </c>
      <c r="B96" s="30" t="s">
        <v>198</v>
      </c>
      <c r="C96" s="29">
        <v>2800</v>
      </c>
      <c r="D96" s="29"/>
      <c r="E96" s="29"/>
      <c r="F96" s="45"/>
      <c r="G96" s="45"/>
      <c r="H96" s="29"/>
      <c r="I96" s="29"/>
      <c r="J96" s="45"/>
      <c r="K96" s="45"/>
      <c r="L96" s="29">
        <f t="shared" si="11"/>
        <v>2800</v>
      </c>
      <c r="M96" s="29">
        <f>23.5+23.5+23.5+29</f>
        <v>99.5</v>
      </c>
      <c r="N96" s="29">
        <f t="shared" si="3"/>
        <v>2700.5</v>
      </c>
      <c r="O96" s="39">
        <f t="shared" si="12"/>
        <v>2.1978171646591602E-5</v>
      </c>
    </row>
    <row r="97" spans="1:15" ht="15.95" customHeight="1" x14ac:dyDescent="0.2">
      <c r="A97" s="42" t="s">
        <v>131</v>
      </c>
      <c r="B97" s="30" t="s">
        <v>68</v>
      </c>
      <c r="C97" s="29">
        <v>8500</v>
      </c>
      <c r="D97" s="29"/>
      <c r="E97" s="29"/>
      <c r="F97" s="45"/>
      <c r="G97" s="45"/>
      <c r="H97" s="29">
        <v>5000</v>
      </c>
      <c r="I97" s="29"/>
      <c r="J97" s="45"/>
      <c r="K97" s="45"/>
      <c r="L97" s="29">
        <f t="shared" si="11"/>
        <v>13500</v>
      </c>
      <c r="M97" s="29">
        <f>270+340.02+1364.45+745+1028.98+290.05+1492.34+1126.25+615+1136.29+1798.43</f>
        <v>10206.810000000001</v>
      </c>
      <c r="N97" s="29">
        <f t="shared" si="3"/>
        <v>3293.1899999999987</v>
      </c>
      <c r="O97" s="39">
        <f t="shared" si="12"/>
        <v>2.254542936122087E-3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862.5+340+218.4+362+940.4+218.4+1875+220.75</f>
        <v>5037.4500000000007</v>
      </c>
      <c r="N99" s="29">
        <f t="shared" si="3"/>
        <v>12462.55</v>
      </c>
      <c r="O99" s="39">
        <f t="shared" si="12"/>
        <v>1.1127029222223405E-3</v>
      </c>
    </row>
    <row r="100" spans="1:15" ht="15.95" customHeight="1" x14ac:dyDescent="0.2">
      <c r="A100" s="42" t="s">
        <v>134</v>
      </c>
      <c r="B100" s="30" t="s">
        <v>200</v>
      </c>
      <c r="C100" s="29">
        <v>3000</v>
      </c>
      <c r="D100" s="29"/>
      <c r="E100" s="29"/>
      <c r="F100" s="45"/>
      <c r="G100" s="45"/>
      <c r="H100" s="29">
        <v>5000</v>
      </c>
      <c r="I100" s="29"/>
      <c r="J100" s="45"/>
      <c r="K100" s="45"/>
      <c r="L100" s="29">
        <f t="shared" si="11"/>
        <v>8000</v>
      </c>
      <c r="M100" s="29">
        <f>67.75+182.63+3.55+237.64+423.48+1967.44+332.62+113.8+378.78+79.2</f>
        <v>3786.8899999999994</v>
      </c>
      <c r="N100" s="29">
        <f t="shared" si="3"/>
        <v>4213.1100000000006</v>
      </c>
      <c r="O100" s="39">
        <f t="shared" si="12"/>
        <v>8.3647154197750008E-4</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1.4269245109244395E-4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f>203220.76+86151.08+1351.52</f>
        <v>290723.36000000004</v>
      </c>
      <c r="N102" s="29">
        <f t="shared" si="15"/>
        <v>309276.63999999996</v>
      </c>
      <c r="O102" s="39">
        <f t="shared" si="12"/>
        <v>6.421676289199843E-2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v>567</v>
      </c>
      <c r="N105" s="29">
        <f t="shared" si="15"/>
        <v>933</v>
      </c>
      <c r="O105" s="39">
        <f t="shared" si="12"/>
        <v>1.2524244546349182E-4</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16.52+71.1+1324.95+68+647.69</f>
        <v>2128.2600000000002</v>
      </c>
      <c r="N109" s="29">
        <f t="shared" si="15"/>
        <v>2671.74</v>
      </c>
      <c r="O109" s="39">
        <f t="shared" si="12"/>
        <v>4.7010315164397031E-4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v>882000</v>
      </c>
      <c r="J111" s="45"/>
      <c r="K111" s="45"/>
      <c r="L111" s="29">
        <f>C111+D111-E111+F111-G111+H111+J111-I111-K111</f>
        <v>418000</v>
      </c>
      <c r="M111" s="29">
        <f>73800+13360</f>
        <v>87160</v>
      </c>
      <c r="N111" s="29">
        <f t="shared" si="15"/>
        <v>330840</v>
      </c>
      <c r="O111" s="39">
        <f t="shared" si="12"/>
        <v>1.925243659011984E-2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75+59+201.5+465.64+110</f>
        <v>911.14</v>
      </c>
      <c r="N112" s="29">
        <f t="shared" si="15"/>
        <v>588.86</v>
      </c>
      <c r="O112" s="39">
        <f t="shared" si="12"/>
        <v>2.0125820416156252E-4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72.75+278.7+70.45+304+137.25+125.2+826.3+108.3+67.2+82.38</f>
        <v>2072.5300000000002</v>
      </c>
      <c r="N114" s="29">
        <f t="shared" si="15"/>
        <v>4527.4699999999993</v>
      </c>
      <c r="O114" s="39">
        <f t="shared" si="12"/>
        <v>4.57793166660407E-4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54.99+178.05+82.2+61.98+62.8+573.25+320.78+184.85+275.4+250.85</f>
        <v>2045.1499999999996</v>
      </c>
      <c r="N115" s="29">
        <f t="shared" si="15"/>
        <v>1954.8500000000004</v>
      </c>
      <c r="O115" s="39">
        <f t="shared" si="12"/>
        <v>4.5174530395001813E-4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f>345+900</f>
        <v>1245</v>
      </c>
      <c r="N116" s="29">
        <f t="shared" si="15"/>
        <v>24006.9</v>
      </c>
      <c r="O116" s="39">
        <f t="shared" si="12"/>
        <v>2.7500325326639739E-4</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753.25+778.43+66.49+47.48</f>
        <v>1645.6499999999999</v>
      </c>
      <c r="N117" s="29">
        <f t="shared" si="15"/>
        <v>354.35000000000014</v>
      </c>
      <c r="O117" s="39">
        <f t="shared" si="12"/>
        <v>3.635012881428489E-4</v>
      </c>
    </row>
    <row r="118" spans="1:15" ht="15.95" customHeight="1" x14ac:dyDescent="0.2">
      <c r="A118" s="42" t="s">
        <v>145</v>
      </c>
      <c r="B118" s="30" t="s">
        <v>211</v>
      </c>
      <c r="C118" s="29">
        <v>9500</v>
      </c>
      <c r="D118" s="29"/>
      <c r="E118" s="29"/>
      <c r="F118" s="45"/>
      <c r="G118" s="45"/>
      <c r="H118" s="29"/>
      <c r="I118" s="29"/>
      <c r="J118" s="45"/>
      <c r="K118" s="45"/>
      <c r="L118" s="29">
        <f t="shared" si="11"/>
        <v>9500</v>
      </c>
      <c r="M118" s="29">
        <f>45.7+130+478.4</f>
        <v>654.09999999999991</v>
      </c>
      <c r="N118" s="29">
        <f t="shared" si="15"/>
        <v>8845.9</v>
      </c>
      <c r="O118" s="39">
        <f t="shared" si="12"/>
        <v>1.4448162888477953E-4</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f>145+21234.9+240.03</f>
        <v>21619.93</v>
      </c>
      <c r="N119" s="29">
        <f t="shared" si="15"/>
        <v>78380.070000000007</v>
      </c>
      <c r="O119" s="39">
        <f t="shared" si="12"/>
        <v>4.7755430404753281E-3</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42+186.6+322.03+426.75+171.8+295+3370+109.7</f>
        <v>4923.88</v>
      </c>
      <c r="N120" s="29">
        <f t="shared" si="15"/>
        <v>4576.12</v>
      </c>
      <c r="O120" s="39">
        <f t="shared" si="12"/>
        <v>1.0876168824846177E-3</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6.625259099174558E-4</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8.9246618029318828E-3</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5.2442789068681186E-3</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v>1036.46</v>
      </c>
      <c r="N135" s="29">
        <f t="shared" si="15"/>
        <v>184863.54</v>
      </c>
      <c r="O135" s="39">
        <f>M135/$M$139</f>
        <v>2.2893965612890785E-4</v>
      </c>
    </row>
    <row r="136" spans="1:15" ht="15.95" customHeight="1" x14ac:dyDescent="0.2">
      <c r="A136" s="42" t="s">
        <v>224</v>
      </c>
      <c r="B136" s="30" t="s">
        <v>225</v>
      </c>
      <c r="C136" s="29">
        <v>7170</v>
      </c>
      <c r="D136" s="29"/>
      <c r="E136" s="29"/>
      <c r="F136" s="29"/>
      <c r="G136" s="29"/>
      <c r="H136" s="29"/>
      <c r="I136" s="29"/>
      <c r="J136" s="45"/>
      <c r="K136" s="45"/>
      <c r="L136" s="29">
        <f t="shared" si="18"/>
        <v>7170</v>
      </c>
      <c r="M136" s="29">
        <v>706.2</v>
      </c>
      <c r="N136" s="29">
        <f t="shared" si="15"/>
        <v>6463.8</v>
      </c>
      <c r="O136" s="39">
        <f>M136/$M$139</f>
        <v>1.5598979715399989E-4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1000+1500+1500+1500+1500+1500+1500+1500+1500</f>
        <v>13000</v>
      </c>
      <c r="N137" s="29">
        <f t="shared" si="15"/>
        <v>57000</v>
      </c>
      <c r="O137" s="39">
        <f>M137/$M$139</f>
        <v>2.8715199136250332E-3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f>2461.75+1867.43</f>
        <v>4329.18</v>
      </c>
      <c r="N138" s="29">
        <f t="shared" si="15"/>
        <v>4420.82</v>
      </c>
      <c r="O138" s="39">
        <f>M138/$M$139</f>
        <v>9.5625589074363254E-4</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1242500</v>
      </c>
      <c r="I139" s="35">
        <f t="shared" si="20"/>
        <v>1242500</v>
      </c>
      <c r="J139" s="65">
        <f t="shared" si="20"/>
        <v>0</v>
      </c>
      <c r="K139" s="65">
        <f t="shared" si="20"/>
        <v>0</v>
      </c>
      <c r="L139" s="35">
        <f>SUM(L31:L138)</f>
        <v>8258523.6200000001</v>
      </c>
      <c r="M139" s="35">
        <f>SUM(M31:M138)</f>
        <v>4527219.1700000018</v>
      </c>
      <c r="N139" s="35">
        <f t="shared" si="20"/>
        <v>3731304.4499999988</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c r="D151" s="48"/>
      <c r="E151" s="4"/>
      <c r="F151" s="4"/>
      <c r="G151" s="4"/>
      <c r="H151" s="4"/>
      <c r="I151" s="4"/>
      <c r="J151" s="67"/>
      <c r="K151" s="67"/>
      <c r="L151" s="4"/>
    </row>
    <row r="152" spans="1:13" x14ac:dyDescent="0.2">
      <c r="A152" s="55" t="s">
        <v>85</v>
      </c>
      <c r="B152" s="53"/>
      <c r="C152" s="70">
        <f>M26</f>
        <v>5448368.9100000001</v>
      </c>
      <c r="D152" s="48"/>
      <c r="E152" s="4"/>
      <c r="F152" s="4"/>
      <c r="G152" s="4"/>
      <c r="H152" s="4"/>
      <c r="I152" s="4"/>
      <c r="J152" s="67"/>
      <c r="K152" s="67"/>
      <c r="L152" s="4"/>
    </row>
    <row r="153" spans="1:13" x14ac:dyDescent="0.2">
      <c r="A153" s="55" t="s">
        <v>86</v>
      </c>
      <c r="B153" s="53"/>
      <c r="C153" s="71">
        <f>-M139</f>
        <v>-4527219.1700000018</v>
      </c>
      <c r="D153" s="4"/>
      <c r="E153" s="4"/>
      <c r="F153" s="4"/>
      <c r="G153" s="4"/>
      <c r="H153" s="4"/>
      <c r="I153" s="4"/>
      <c r="J153" s="67"/>
      <c r="K153" s="67"/>
      <c r="L153" s="4"/>
    </row>
    <row r="154" spans="1:13" ht="15.75" x14ac:dyDescent="0.25">
      <c r="A154" s="56" t="s">
        <v>87</v>
      </c>
      <c r="B154" s="57"/>
      <c r="C154" s="72">
        <f>SUM(C147:C153)</f>
        <v>3433599.9399999985</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10419.780000000001</v>
      </c>
      <c r="D159" s="4"/>
      <c r="E159" s="4"/>
      <c r="F159" s="4"/>
      <c r="G159" s="4"/>
      <c r="H159" s="4"/>
      <c r="I159" s="4"/>
      <c r="J159" s="67"/>
      <c r="K159" s="67"/>
      <c r="L159" s="4"/>
    </row>
    <row r="160" spans="1:13" x14ac:dyDescent="0.2">
      <c r="A160" s="55" t="s">
        <v>151</v>
      </c>
      <c r="B160" s="53"/>
      <c r="C160" s="70">
        <f>7099.47+665.37+3213.71+34.11+0.01</f>
        <v>11012.67</v>
      </c>
      <c r="D160" s="80"/>
      <c r="E160" s="4"/>
      <c r="F160" s="4"/>
      <c r="G160" s="4"/>
      <c r="H160" s="4"/>
      <c r="I160" s="4"/>
      <c r="J160" s="67"/>
      <c r="K160" s="67"/>
      <c r="L160" s="4"/>
    </row>
    <row r="161" spans="1:13" x14ac:dyDescent="0.2">
      <c r="A161" s="55" t="s">
        <v>150</v>
      </c>
      <c r="B161" s="53"/>
      <c r="C161" s="70">
        <v>2024.05</v>
      </c>
      <c r="D161" s="81"/>
      <c r="E161" s="4"/>
      <c r="F161" s="4"/>
      <c r="G161" s="4"/>
      <c r="H161" s="4"/>
      <c r="I161" s="4"/>
      <c r="J161" s="67"/>
      <c r="K161" s="67"/>
      <c r="L161" s="4"/>
    </row>
    <row r="162" spans="1:13" x14ac:dyDescent="0.2">
      <c r="A162" s="55" t="s">
        <v>149</v>
      </c>
      <c r="B162" s="53"/>
      <c r="C162" s="70">
        <f>6759.62+4341.58</f>
        <v>11101.2</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275</v>
      </c>
      <c r="B164" s="53"/>
      <c r="C164" s="70">
        <f>0.4+0.9</f>
        <v>1.3</v>
      </c>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34831</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3468430.9399999985</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276</v>
      </c>
      <c r="B172" s="59"/>
      <c r="C172" s="69">
        <f>C154+C167</f>
        <v>3468430.9399999985</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85" t="s">
        <v>240</v>
      </c>
      <c r="C184" s="86" t="s">
        <v>230</v>
      </c>
      <c r="G184" s="85" t="s">
        <v>271</v>
      </c>
      <c r="J184" s="86" t="s">
        <v>272</v>
      </c>
      <c r="K184" s="75"/>
    </row>
    <row r="185" spans="2:12" x14ac:dyDescent="0.2">
      <c r="B185" s="85" t="s">
        <v>89</v>
      </c>
      <c r="C185" s="86" t="s">
        <v>90</v>
      </c>
      <c r="G185" s="85" t="s">
        <v>252</v>
      </c>
      <c r="J185" s="85"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ignoredErrors>
    <ignoredError sqref="L111 L91 O129 L12 L35 L64:L74"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3059-5CE9-4AA4-B814-4CAF7CE704FD}">
  <dimension ref="A1:O208"/>
  <sheetViews>
    <sheetView tabSelected="1" topLeftCell="A10" zoomScaleNormal="100" workbookViewId="0">
      <selection activeCell="D39" sqref="D39"/>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12800+3800+2400-400+200+1200+400+1600+200+1200+5650</f>
        <v>29050</v>
      </c>
      <c r="N10" s="29">
        <f t="shared" ref="N10:N22" si="1">L10-M10</f>
        <v>7950</v>
      </c>
      <c r="O10" s="28">
        <f>M10/$M$26</f>
        <v>4.6606895363584394E-3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28839+1312.5+117.7+8.16</f>
        <v>30277.360000000001</v>
      </c>
      <c r="N12" s="29">
        <f t="shared" si="1"/>
        <v>222.63999999999942</v>
      </c>
      <c r="O12" s="28">
        <f>M12/$M$26</f>
        <v>4.8576032681775412E-3</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v>10000</v>
      </c>
      <c r="I15" s="29"/>
      <c r="J15" s="45"/>
      <c r="K15" s="45"/>
      <c r="L15" s="29">
        <f>C15+D15-E15+F15-G15+H15+J15-K15</f>
        <v>18800</v>
      </c>
      <c r="M15" s="29">
        <f>1350.3+2998.52+1574.78+1480.71+2979.46+1449.6+1385.24+1275.36+513.4+357.72</f>
        <v>15365.09</v>
      </c>
      <c r="N15" s="29">
        <f t="shared" si="1"/>
        <v>3434.91</v>
      </c>
      <c r="O15" s="28">
        <f>M15/$M$26</f>
        <v>2.4651261338452905E-3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v>10000</v>
      </c>
      <c r="J18" s="45"/>
      <c r="K18" s="45"/>
      <c r="L18" s="29">
        <f>C18+D18-E18+F18-G18+J18-I18-K18</f>
        <v>3659949.52</v>
      </c>
      <c r="M18" s="29">
        <f>324883.58+265491.21+249714.95+249714.95+249714.95+296154.05+311633.76+249714.95+288414.21+358072.86+342593.16+644447.33</f>
        <v>3830549.96</v>
      </c>
      <c r="N18" s="29">
        <f t="shared" si="1"/>
        <v>-170600.43999999994</v>
      </c>
      <c r="O18" s="28">
        <f>M18/$M$26</f>
        <v>0.61456124327264161</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1904175.88</v>
      </c>
      <c r="D20" s="29"/>
      <c r="E20" s="29"/>
      <c r="F20" s="29"/>
      <c r="G20" s="29">
        <v>781317.52</v>
      </c>
      <c r="H20" s="29"/>
      <c r="I20" s="29"/>
      <c r="J20" s="45"/>
      <c r="K20" s="45"/>
      <c r="L20" s="29">
        <f t="shared" si="0"/>
        <v>1122858.3599999999</v>
      </c>
      <c r="M20" s="29">
        <f>258799.62+537471.09+518983.35+214618.4-23767.9-68260.18+400997.7+349089.47+139809.33</f>
        <v>2327740.88</v>
      </c>
      <c r="N20" s="29">
        <f t="shared" si="1"/>
        <v>-1204882.52</v>
      </c>
      <c r="O20" s="28">
        <f>M20/$M$26</f>
        <v>0.3734553377889771</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f>2534598.22-260547.84</f>
        <v>2274050.3800000004</v>
      </c>
      <c r="D25" s="29"/>
      <c r="E25" s="29"/>
      <c r="F25" s="29">
        <v>781317.52</v>
      </c>
      <c r="G25" s="29"/>
      <c r="H25" s="29"/>
      <c r="I25" s="29"/>
      <c r="J25" s="45"/>
      <c r="K25" s="45"/>
      <c r="L25" s="29">
        <f>C25+D25-E25+F25-G25+J25-K25</f>
        <v>3055367.9000000004</v>
      </c>
      <c r="M25" s="29"/>
      <c r="N25" s="29">
        <f>L25-M25</f>
        <v>3055367.9000000004</v>
      </c>
      <c r="O25" s="28">
        <f>M25/$M$26</f>
        <v>0</v>
      </c>
    </row>
    <row r="26" spans="1:15" ht="18" customHeight="1" thickBot="1" x14ac:dyDescent="0.3">
      <c r="A26" s="33"/>
      <c r="B26" s="34" t="s">
        <v>32</v>
      </c>
      <c r="C26" s="35">
        <f>SUM(C9:C25)</f>
        <v>8258523.620000001</v>
      </c>
      <c r="D26" s="35">
        <f t="shared" ref="D26:N26" si="2">SUM(D9:D25)</f>
        <v>0</v>
      </c>
      <c r="E26" s="35">
        <f t="shared" si="2"/>
        <v>0</v>
      </c>
      <c r="F26" s="35">
        <f t="shared" si="2"/>
        <v>781317.52</v>
      </c>
      <c r="G26" s="35">
        <f t="shared" si="2"/>
        <v>781317.52</v>
      </c>
      <c r="H26" s="35">
        <f t="shared" si="2"/>
        <v>10000</v>
      </c>
      <c r="I26" s="35">
        <f t="shared" si="2"/>
        <v>10000</v>
      </c>
      <c r="J26" s="35">
        <f t="shared" si="2"/>
        <v>0</v>
      </c>
      <c r="K26" s="35">
        <f t="shared" si="2"/>
        <v>0</v>
      </c>
      <c r="L26" s="35">
        <f t="shared" si="2"/>
        <v>8258523.6200000001</v>
      </c>
      <c r="M26" s="35">
        <f>SUM(M10:M25)</f>
        <v>6232983.29</v>
      </c>
      <c r="N26" s="35">
        <f t="shared" si="2"/>
        <v>2025540.3300000005</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62931.76+63078.14+63078.14+63431.24-823.9+59547.14+59547.14+60135.64+63078.14+63078.14+63078.14+63078.14+56578.14</f>
        <v>739816</v>
      </c>
      <c r="N31" s="29">
        <f t="shared" ref="N31:N100" si="3">L31-M31</f>
        <v>59756.040000000037</v>
      </c>
      <c r="O31" s="39">
        <f>M31/$M$139</f>
        <v>0.13515917975147643</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1125+1125+1125+1125+1125+1125+1125+1125+1125+1125+1125+750</f>
        <v>13125</v>
      </c>
      <c r="N32" s="29">
        <f t="shared" si="3"/>
        <v>575</v>
      </c>
      <c r="O32" s="39">
        <f>M32/$M$139</f>
        <v>2.3978451861518648E-3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21149+21149+21149+21000.64+19849+22380.68+21247.79+22440.75+21149+21149+21149+33638.04</f>
        <v>267450.90000000002</v>
      </c>
      <c r="N33" s="29">
        <f t="shared" si="3"/>
        <v>43649.099999999977</v>
      </c>
      <c r="O33" s="39">
        <f>M33/$M$139</f>
        <v>4.886139833119877E-2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v>60500</v>
      </c>
      <c r="J35" s="45"/>
      <c r="K35" s="45"/>
      <c r="L35" s="29">
        <f>C35+D35-E35+F35-G35+H35-I35+J35-K35</f>
        <v>93500</v>
      </c>
      <c r="M35" s="29"/>
      <c r="N35" s="29">
        <f t="shared" si="3"/>
        <v>93500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f>1080+1800+2700+1440+2700+360</f>
        <v>10080</v>
      </c>
      <c r="N36" s="29">
        <f t="shared" si="3"/>
        <v>7420</v>
      </c>
      <c r="O36" s="39">
        <f t="shared" ref="O36:O42" si="5">M36/$M$139</f>
        <v>1.8415451029646323E-3</v>
      </c>
    </row>
    <row r="37" spans="1:15" ht="15.95" customHeight="1" x14ac:dyDescent="0.2">
      <c r="A37" s="42" t="s">
        <v>41</v>
      </c>
      <c r="B37" s="30" t="s">
        <v>156</v>
      </c>
      <c r="C37" s="29">
        <v>34510.800000000003</v>
      </c>
      <c r="D37" s="29"/>
      <c r="E37" s="29"/>
      <c r="F37" s="45"/>
      <c r="G37" s="45"/>
      <c r="H37" s="29">
        <v>10000</v>
      </c>
      <c r="I37" s="29"/>
      <c r="J37" s="45"/>
      <c r="K37" s="45"/>
      <c r="L37" s="29">
        <f t="shared" si="4"/>
        <v>44510.8</v>
      </c>
      <c r="M37" s="29">
        <f>3669.23+3812.08+1678.08+1537.98+3962.93+106.83+2379.94+3458.56</f>
        <v>20605.63</v>
      </c>
      <c r="N37" s="29">
        <f t="shared" si="3"/>
        <v>23905.170000000002</v>
      </c>
      <c r="O37" s="39">
        <f t="shared" si="5"/>
        <v>3.7645036726191581E-3</v>
      </c>
    </row>
    <row r="38" spans="1:15" ht="15.95" customHeight="1" x14ac:dyDescent="0.2">
      <c r="A38" s="42" t="s">
        <v>42</v>
      </c>
      <c r="B38" s="30" t="s">
        <v>157</v>
      </c>
      <c r="C38" s="29">
        <v>87401.15</v>
      </c>
      <c r="D38" s="29"/>
      <c r="E38" s="29"/>
      <c r="F38" s="45"/>
      <c r="G38" s="45"/>
      <c r="H38" s="29">
        <v>3000</v>
      </c>
      <c r="I38" s="29"/>
      <c r="J38" s="45"/>
      <c r="K38" s="45"/>
      <c r="L38" s="29">
        <f t="shared" si="4"/>
        <v>90401.15</v>
      </c>
      <c r="M38" s="29">
        <f>6536.21+6924.6+7121.94+7174.86+6909.49+6894.54+7178.39+6730.44+6741.84+6984.38+7099.47+5930.19</f>
        <v>82226.350000000006</v>
      </c>
      <c r="N38" s="29">
        <f t="shared" si="3"/>
        <v>8174.7999999999884</v>
      </c>
      <c r="O38" s="39">
        <f t="shared" si="5"/>
        <v>1.5022175811225783E-2</v>
      </c>
    </row>
    <row r="39" spans="1:15" ht="15.95" customHeight="1" x14ac:dyDescent="0.2">
      <c r="A39" s="42" t="s">
        <v>43</v>
      </c>
      <c r="B39" s="30" t="s">
        <v>158</v>
      </c>
      <c r="C39" s="29">
        <v>8190.84</v>
      </c>
      <c r="D39" s="29"/>
      <c r="E39" s="29"/>
      <c r="F39" s="45"/>
      <c r="G39" s="45"/>
      <c r="H39" s="29">
        <v>1500</v>
      </c>
      <c r="I39" s="29"/>
      <c r="J39" s="45"/>
      <c r="K39" s="45"/>
      <c r="L39" s="29">
        <f t="shared" si="4"/>
        <v>9690.84</v>
      </c>
      <c r="M39" s="29">
        <f>587.53+672.57+667.47+672.43+647.56+646.16+672.76+630.78+631.85+654.58+665.37+555.78</f>
        <v>7704.8399999999992</v>
      </c>
      <c r="N39" s="29">
        <f t="shared" si="3"/>
        <v>1986.0000000000009</v>
      </c>
      <c r="O39" s="39">
        <f t="shared" si="5"/>
        <v>1.4076200765005967E-3</v>
      </c>
    </row>
    <row r="40" spans="1:15" ht="15.95" customHeight="1" x14ac:dyDescent="0.2">
      <c r="A40" s="42" t="s">
        <v>44</v>
      </c>
      <c r="B40" s="30" t="s">
        <v>45</v>
      </c>
      <c r="C40" s="29">
        <v>67581.009999999995</v>
      </c>
      <c r="D40" s="29"/>
      <c r="E40" s="29"/>
      <c r="F40" s="45"/>
      <c r="G40" s="45"/>
      <c r="H40" s="29">
        <v>8000</v>
      </c>
      <c r="I40" s="29"/>
      <c r="J40" s="45"/>
      <c r="K40" s="45"/>
      <c r="L40" s="29">
        <f t="shared" si="4"/>
        <v>75581.009999999995</v>
      </c>
      <c r="M40" s="29">
        <f>919.03+64660.33</f>
        <v>65579.360000000001</v>
      </c>
      <c r="N40" s="29">
        <f t="shared" si="3"/>
        <v>10001.649999999994</v>
      </c>
      <c r="O40" s="39">
        <f t="shared" si="5"/>
        <v>1.1980887823765345E-2</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f>64600.41+3143.84-163.24</f>
        <v>67581.009999999995</v>
      </c>
      <c r="N41" s="29">
        <f t="shared" si="3"/>
        <v>0</v>
      </c>
      <c r="O41" s="39">
        <f t="shared" si="5"/>
        <v>1.2346575200288078E-2</v>
      </c>
    </row>
    <row r="42" spans="1:15" ht="15.95" customHeight="1" x14ac:dyDescent="0.2">
      <c r="A42" s="42" t="s">
        <v>47</v>
      </c>
      <c r="B42" s="30" t="s">
        <v>48</v>
      </c>
      <c r="C42" s="29">
        <v>4400</v>
      </c>
      <c r="D42" s="29"/>
      <c r="E42" s="29"/>
      <c r="F42" s="45"/>
      <c r="G42" s="45"/>
      <c r="H42" s="29">
        <v>1000</v>
      </c>
      <c r="I42" s="29"/>
      <c r="J42" s="45"/>
      <c r="K42" s="45"/>
      <c r="L42" s="29">
        <f t="shared" si="4"/>
        <v>5400</v>
      </c>
      <c r="M42" s="29">
        <f>104.11+4370.41</f>
        <v>4474.5199999999995</v>
      </c>
      <c r="N42" s="29">
        <f t="shared" si="3"/>
        <v>925.48000000000047</v>
      </c>
      <c r="O42" s="39">
        <f t="shared" si="5"/>
        <v>8.1746333274973265E-4</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v>8000</v>
      </c>
      <c r="I46" s="29"/>
      <c r="J46" s="45"/>
      <c r="K46" s="45"/>
      <c r="L46" s="29">
        <f t="shared" ref="L46:L80" si="6">C46+D46-E46+F46-G46+H46+J46-K46</f>
        <v>21750</v>
      </c>
      <c r="M46" s="29">
        <f>530.61+1202.11+1310.83+1071.3+1507.98+1507.98+1349.52+1511.74+1342.22+1299.83+1060.31+1180.08</f>
        <v>14874.509999999998</v>
      </c>
      <c r="N46" s="29">
        <f t="shared" si="3"/>
        <v>6875.4900000000016</v>
      </c>
      <c r="O46" s="39">
        <f t="shared" ref="O46:O55" si="7">M46/$M$139</f>
        <v>2.7174683580851633E-3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4693.76+608+615.86+618+618+618+622.2+618+618+618+618+618</f>
        <v>11483.82</v>
      </c>
      <c r="N47" s="29">
        <f t="shared" si="3"/>
        <v>14616.18</v>
      </c>
      <c r="O47" s="39">
        <f t="shared" si="7"/>
        <v>2.0980131432864388E-3</v>
      </c>
    </row>
    <row r="48" spans="1:15" ht="15.95" customHeight="1" x14ac:dyDescent="0.2">
      <c r="A48" s="42" t="s">
        <v>94</v>
      </c>
      <c r="B48" s="30" t="s">
        <v>52</v>
      </c>
      <c r="C48" s="29">
        <v>2000</v>
      </c>
      <c r="D48" s="29"/>
      <c r="E48" s="29"/>
      <c r="F48" s="45"/>
      <c r="G48" s="45"/>
      <c r="H48" s="29"/>
      <c r="I48" s="29"/>
      <c r="J48" s="45"/>
      <c r="K48" s="45"/>
      <c r="L48" s="29">
        <f t="shared" si="6"/>
        <v>2000</v>
      </c>
      <c r="M48" s="29">
        <v>204.33</v>
      </c>
      <c r="N48" s="29">
        <f t="shared" si="3"/>
        <v>1795.67</v>
      </c>
      <c r="O48" s="39">
        <f t="shared" si="7"/>
        <v>3.7329653858012237E-5</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5.5904047768569191E-4</v>
      </c>
    </row>
    <row r="50" spans="1:15" ht="15.95" customHeight="1" x14ac:dyDescent="0.2">
      <c r="A50" s="42" t="s">
        <v>96</v>
      </c>
      <c r="B50" s="30" t="s">
        <v>161</v>
      </c>
      <c r="C50" s="29">
        <v>14250</v>
      </c>
      <c r="D50" s="29"/>
      <c r="E50" s="29"/>
      <c r="F50" s="45"/>
      <c r="G50" s="45"/>
      <c r="H50" s="29">
        <v>6000</v>
      </c>
      <c r="I50" s="29"/>
      <c r="J50" s="45"/>
      <c r="K50" s="45"/>
      <c r="L50" s="29">
        <f>C50+D50-E50+F50-G50+H50+J50-K50</f>
        <v>20250</v>
      </c>
      <c r="M50" s="29">
        <f>18.9+13.5+13.5+152.35+18.9+138.2+3349+697+2132.4+2284.5+3285+2871</f>
        <v>14974.25</v>
      </c>
      <c r="N50" s="29">
        <f t="shared" si="3"/>
        <v>5275.75</v>
      </c>
      <c r="O50" s="39">
        <f t="shared" si="7"/>
        <v>2.7356901545702523E-3</v>
      </c>
    </row>
    <row r="51" spans="1:15" ht="15.95" customHeight="1" x14ac:dyDescent="0.2">
      <c r="A51" s="42" t="s">
        <v>97</v>
      </c>
      <c r="B51" s="30" t="s">
        <v>162</v>
      </c>
      <c r="C51" s="29">
        <v>673088.47</v>
      </c>
      <c r="D51" s="29"/>
      <c r="E51" s="29"/>
      <c r="F51" s="45">
        <v>323970.59999999998</v>
      </c>
      <c r="G51" s="45">
        <v>379217.52</v>
      </c>
      <c r="H51" s="29">
        <v>425000</v>
      </c>
      <c r="I51" s="29"/>
      <c r="J51" s="45"/>
      <c r="K51" s="45"/>
      <c r="L51" s="29">
        <f>C51+D51-E51+F51-G51+H51-I51+J51-K51</f>
        <v>1042841.5499999999</v>
      </c>
      <c r="M51" s="29">
        <f>90330.35+113542.08+268095.07+71420.35+84924.06+190327.73</f>
        <v>818639.6399999999</v>
      </c>
      <c r="N51" s="29">
        <f t="shared" si="3"/>
        <v>224201.91000000003</v>
      </c>
      <c r="O51" s="39">
        <f t="shared" si="7"/>
        <v>0.14955970437844535</v>
      </c>
    </row>
    <row r="52" spans="1:15" ht="15.95" customHeight="1" x14ac:dyDescent="0.2">
      <c r="A52" s="42" t="s">
        <v>98</v>
      </c>
      <c r="B52" s="30" t="s">
        <v>53</v>
      </c>
      <c r="C52" s="29">
        <v>563742.69999999995</v>
      </c>
      <c r="D52" s="29"/>
      <c r="E52" s="29"/>
      <c r="F52" s="45"/>
      <c r="G52" s="45"/>
      <c r="H52" s="29">
        <v>450000</v>
      </c>
      <c r="I52" s="29"/>
      <c r="J52" s="45"/>
      <c r="K52" s="45"/>
      <c r="L52" s="29">
        <f>C52+D52-E52+F52-G52+H52+J52-K52</f>
        <v>1013742.7</v>
      </c>
      <c r="M52" s="29">
        <f>2894.44+80982.64+132982.32+7555.83+155976.29+72328.67+146355.09+209757.87</f>
        <v>808833.15</v>
      </c>
      <c r="N52" s="29">
        <f t="shared" si="3"/>
        <v>204909.54999999993</v>
      </c>
      <c r="O52" s="39">
        <f t="shared" si="7"/>
        <v>0.14776812762876565</v>
      </c>
    </row>
    <row r="53" spans="1:15" ht="15.95" customHeight="1" x14ac:dyDescent="0.2">
      <c r="A53" s="42" t="s">
        <v>99</v>
      </c>
      <c r="B53" s="30" t="s">
        <v>163</v>
      </c>
      <c r="C53" s="29">
        <v>500985.37</v>
      </c>
      <c r="D53" s="29"/>
      <c r="E53" s="29"/>
      <c r="F53" s="45"/>
      <c r="G53" s="45"/>
      <c r="H53" s="29">
        <v>230000</v>
      </c>
      <c r="I53" s="29"/>
      <c r="J53" s="45"/>
      <c r="K53" s="45"/>
      <c r="L53" s="29">
        <f>C53+D53-E53+F53-G53+H53+J53-K53</f>
        <v>730985.37</v>
      </c>
      <c r="M53" s="29">
        <f>29413.01+7189.7+7639.88+133891.61+29801.07+80892.52+96093.47+136968.41+109896.49</f>
        <v>631786.16</v>
      </c>
      <c r="N53" s="29">
        <f t="shared" si="3"/>
        <v>99199.209999999963</v>
      </c>
      <c r="O53" s="39">
        <f t="shared" si="7"/>
        <v>0.11542288780444739</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f>9300+18250</f>
        <v>27550</v>
      </c>
      <c r="N54" s="29">
        <f t="shared" si="3"/>
        <v>22450</v>
      </c>
      <c r="O54" s="39">
        <f t="shared" si="7"/>
        <v>5.0331912288368664E-3</v>
      </c>
    </row>
    <row r="55" spans="1:15" ht="15.95" customHeight="1" x14ac:dyDescent="0.2">
      <c r="A55" s="42" t="s">
        <v>101</v>
      </c>
      <c r="B55" s="30" t="s">
        <v>55</v>
      </c>
      <c r="C55" s="29">
        <v>75000</v>
      </c>
      <c r="D55" s="29"/>
      <c r="E55" s="29"/>
      <c r="F55" s="45"/>
      <c r="G55" s="45"/>
      <c r="H55" s="29"/>
      <c r="I55" s="29"/>
      <c r="J55" s="45"/>
      <c r="K55" s="45"/>
      <c r="L55" s="29">
        <f>C55+D55-E55+F55-G55+H55+J55-I55-K55</f>
        <v>75000</v>
      </c>
      <c r="M55" s="29">
        <f>5700+31799.27</f>
        <v>37499.270000000004</v>
      </c>
      <c r="N55" s="29">
        <f t="shared" si="3"/>
        <v>37500.729999999996</v>
      </c>
      <c r="O55" s="39">
        <f t="shared" si="7"/>
        <v>6.8508528802825944E-3</v>
      </c>
    </row>
    <row r="56" spans="1:15" ht="15.95" customHeight="1" x14ac:dyDescent="0.2">
      <c r="A56" s="42">
        <v>151</v>
      </c>
      <c r="B56" s="30" t="s">
        <v>249</v>
      </c>
      <c r="C56" s="29">
        <v>90000</v>
      </c>
      <c r="D56" s="29"/>
      <c r="E56" s="29"/>
      <c r="F56" s="45"/>
      <c r="G56" s="45"/>
      <c r="H56" s="29">
        <v>3000</v>
      </c>
      <c r="I56" s="29"/>
      <c r="J56" s="45"/>
      <c r="K56" s="45"/>
      <c r="L56" s="29">
        <f t="shared" si="6"/>
        <v>93000</v>
      </c>
      <c r="M56" s="29">
        <f>11250+11250+11250+11250+11250+11250+11250+11250</f>
        <v>90000</v>
      </c>
      <c r="N56" s="29">
        <f t="shared" si="3"/>
        <v>3000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7.6731045956859672E-4</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v>25000</v>
      </c>
      <c r="I59" s="29"/>
      <c r="J59" s="45"/>
      <c r="K59" s="45"/>
      <c r="L59" s="29">
        <f t="shared" si="6"/>
        <v>32750</v>
      </c>
      <c r="M59" s="29">
        <f>3600+750+5500+3700</f>
        <v>13550</v>
      </c>
      <c r="N59" s="29">
        <f t="shared" si="3"/>
        <v>19200</v>
      </c>
      <c r="O59" s="39">
        <f t="shared" si="8"/>
        <v>2.4754896969415444E-3</v>
      </c>
    </row>
    <row r="60" spans="1:15" ht="15.95" customHeight="1" x14ac:dyDescent="0.2">
      <c r="A60" s="42" t="s">
        <v>105</v>
      </c>
      <c r="B60" s="30" t="s">
        <v>166</v>
      </c>
      <c r="C60" s="29">
        <v>7000</v>
      </c>
      <c r="D60" s="29"/>
      <c r="E60" s="29"/>
      <c r="F60" s="45"/>
      <c r="G60" s="45"/>
      <c r="H60" s="29">
        <v>10000</v>
      </c>
      <c r="I60" s="29"/>
      <c r="J60" s="45"/>
      <c r="K60" s="45"/>
      <c r="L60" s="29">
        <f t="shared" si="6"/>
        <v>17000</v>
      </c>
      <c r="M60" s="29">
        <f>10354.57+530.59+233.7</f>
        <v>11118.86</v>
      </c>
      <c r="N60" s="29">
        <f t="shared" si="3"/>
        <v>5881.1399999999994</v>
      </c>
      <c r="O60" s="39">
        <f t="shared" si="8"/>
        <v>2.0313375182092592E-3</v>
      </c>
    </row>
    <row r="61" spans="1:15" ht="15.95" customHeight="1" x14ac:dyDescent="0.2">
      <c r="A61" s="42" t="s">
        <v>106</v>
      </c>
      <c r="B61" s="30" t="s">
        <v>167</v>
      </c>
      <c r="C61" s="29">
        <v>14000</v>
      </c>
      <c r="D61" s="29"/>
      <c r="E61" s="29"/>
      <c r="F61" s="45"/>
      <c r="G61" s="45"/>
      <c r="H61" s="29"/>
      <c r="I61" s="29"/>
      <c r="J61" s="45"/>
      <c r="K61" s="45"/>
      <c r="L61" s="29">
        <f t="shared" si="6"/>
        <v>14000</v>
      </c>
      <c r="M61" s="29">
        <f>500+1160+7250</f>
        <v>8910</v>
      </c>
      <c r="N61" s="29">
        <f t="shared" si="3"/>
        <v>5090</v>
      </c>
      <c r="O61" s="39">
        <f t="shared" si="8"/>
        <v>1.6277943320848088E-3</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v>1000</v>
      </c>
      <c r="I68" s="29"/>
      <c r="J68" s="45"/>
      <c r="K68" s="45"/>
      <c r="L68" s="29">
        <f t="shared" si="6"/>
        <v>55000</v>
      </c>
      <c r="M68" s="29">
        <f>4500+4500+4500+4500+4500+4500+4500+4500+4500+4500+4500+4500</f>
        <v>54000</v>
      </c>
      <c r="N68" s="29">
        <f t="shared" si="3"/>
        <v>1000</v>
      </c>
      <c r="O68" s="39">
        <f t="shared" si="9"/>
        <v>9.8654201944533872E-3</v>
      </c>
    </row>
    <row r="69" spans="1:15" ht="15.95" customHeight="1" x14ac:dyDescent="0.2">
      <c r="A69" s="42" t="s">
        <v>111</v>
      </c>
      <c r="B69" s="30" t="s">
        <v>172</v>
      </c>
      <c r="C69" s="29">
        <v>54000</v>
      </c>
      <c r="D69" s="29"/>
      <c r="E69" s="29"/>
      <c r="F69" s="45"/>
      <c r="G69" s="45"/>
      <c r="H69" s="29">
        <v>1000</v>
      </c>
      <c r="I69" s="29"/>
      <c r="J69" s="45"/>
      <c r="K69" s="45"/>
      <c r="L69" s="29">
        <f t="shared" si="6"/>
        <v>55000</v>
      </c>
      <c r="M69" s="29">
        <f>4500+4500+4500+4500+4500+4500+4500+4500+4500+4500+4500+4500</f>
        <v>54000</v>
      </c>
      <c r="N69" s="29">
        <f t="shared" si="3"/>
        <v>1000</v>
      </c>
      <c r="O69" s="39">
        <f t="shared" si="9"/>
        <v>9.8654201944533872E-3</v>
      </c>
    </row>
    <row r="70" spans="1:15" ht="15.95" customHeight="1" x14ac:dyDescent="0.2">
      <c r="A70" s="42" t="s">
        <v>112</v>
      </c>
      <c r="B70" s="30" t="s">
        <v>57</v>
      </c>
      <c r="C70" s="29">
        <v>7500</v>
      </c>
      <c r="D70" s="29"/>
      <c r="E70" s="29"/>
      <c r="F70" s="45"/>
      <c r="G70" s="45"/>
      <c r="H70" s="29"/>
      <c r="I70" s="29"/>
      <c r="J70" s="45"/>
      <c r="K70" s="45"/>
      <c r="L70" s="29">
        <f t="shared" si="6"/>
        <v>7500</v>
      </c>
      <c r="M70" s="29">
        <f>117.6+235.2</f>
        <v>352.79999999999995</v>
      </c>
      <c r="N70" s="29">
        <f t="shared" si="3"/>
        <v>7147.2</v>
      </c>
      <c r="O70" s="39">
        <f t="shared" si="9"/>
        <v>6.445407860376212E-5</v>
      </c>
    </row>
    <row r="71" spans="1:15" ht="15.95" customHeight="1" x14ac:dyDescent="0.2">
      <c r="A71" s="42" t="s">
        <v>113</v>
      </c>
      <c r="B71" s="30" t="s">
        <v>173</v>
      </c>
      <c r="C71" s="29">
        <v>24540</v>
      </c>
      <c r="D71" s="29"/>
      <c r="E71" s="29"/>
      <c r="F71" s="45"/>
      <c r="G71" s="45"/>
      <c r="H71" s="29"/>
      <c r="I71" s="29"/>
      <c r="J71" s="45"/>
      <c r="K71" s="45"/>
      <c r="L71" s="29">
        <f t="shared" si="6"/>
        <v>24540</v>
      </c>
      <c r="M71" s="29">
        <f>117.6+14500</f>
        <v>14617.6</v>
      </c>
      <c r="N71" s="29">
        <f t="shared" si="3"/>
        <v>9922.4</v>
      </c>
      <c r="O71" s="39">
        <f t="shared" si="9"/>
        <v>2.670532708045219E-3</v>
      </c>
    </row>
    <row r="72" spans="1:15" ht="15.95" customHeight="1" x14ac:dyDescent="0.2">
      <c r="A72" s="42" t="s">
        <v>114</v>
      </c>
      <c r="B72" s="30" t="s">
        <v>174</v>
      </c>
      <c r="C72" s="29">
        <v>863300</v>
      </c>
      <c r="D72" s="29"/>
      <c r="E72" s="29"/>
      <c r="F72" s="45"/>
      <c r="G72" s="45"/>
      <c r="H72" s="29"/>
      <c r="I72" s="29">
        <v>300000</v>
      </c>
      <c r="J72" s="45"/>
      <c r="K72" s="45"/>
      <c r="L72" s="29">
        <f>C72+D72-E72+F72-G72+H72-I72+J72-K72</f>
        <v>563300</v>
      </c>
      <c r="M72" s="29">
        <f>1500+70267.86+117000.9+24486.58+24517.72+70585.29+23608.68+23587.65+52359.01+93486.16</f>
        <v>501399.85000000009</v>
      </c>
      <c r="N72" s="29">
        <f t="shared" si="3"/>
        <v>61900.149999999907</v>
      </c>
      <c r="O72" s="39">
        <f t="shared" si="9"/>
        <v>9.1602226031220368E-2</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v>4097.5</v>
      </c>
      <c r="N75" s="29">
        <f t="shared" si="3"/>
        <v>4152.5</v>
      </c>
      <c r="O75" s="39">
        <f t="shared" si="9"/>
        <v>7.4858443049579174E-4</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50.36+50.33+106.36+56.35+56.36+213.37+212.85+56.36+283.15+51.57+50.35+128.3</f>
        <v>1315.71</v>
      </c>
      <c r="N76" s="29">
        <f t="shared" si="3"/>
        <v>1184.29</v>
      </c>
      <c r="O76" s="39">
        <f t="shared" si="9"/>
        <v>2.4037096303785677E-4</v>
      </c>
    </row>
    <row r="77" spans="1:15" ht="15.95" customHeight="1" x14ac:dyDescent="0.2">
      <c r="A77" s="42" t="s">
        <v>119</v>
      </c>
      <c r="B77" s="30" t="s">
        <v>59</v>
      </c>
      <c r="C77" s="29">
        <v>125000</v>
      </c>
      <c r="D77" s="29"/>
      <c r="E77" s="29"/>
      <c r="F77" s="45"/>
      <c r="G77" s="45"/>
      <c r="H77" s="29"/>
      <c r="I77" s="29"/>
      <c r="J77" s="45"/>
      <c r="K77" s="45"/>
      <c r="L77" s="29">
        <f t="shared" si="6"/>
        <v>125000</v>
      </c>
      <c r="M77" s="29">
        <f>35.1+230.2+54994.3+28491.72+25078.32</f>
        <v>108829.64000000001</v>
      </c>
      <c r="N77" s="29">
        <f t="shared" si="3"/>
        <v>16170.359999999986</v>
      </c>
      <c r="O77" s="39">
        <f t="shared" si="9"/>
        <v>1.9882409781686892E-2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f>1750+1065</f>
        <v>2815</v>
      </c>
      <c r="N78" s="29">
        <f t="shared" si="3"/>
        <v>47185</v>
      </c>
      <c r="O78" s="39">
        <f t="shared" si="9"/>
        <v>5.1428070087752376E-4</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v>50000</v>
      </c>
      <c r="I80" s="29"/>
      <c r="J80" s="45"/>
      <c r="K80" s="45"/>
      <c r="L80" s="29">
        <f t="shared" si="6"/>
        <v>101000</v>
      </c>
      <c r="M80" s="29">
        <f>55+100.4+3468.75+29477.11+820+34324.93+125+24435.87+2473.02</f>
        <v>95280.08</v>
      </c>
      <c r="N80" s="29">
        <f t="shared" si="3"/>
        <v>5719.9199999999983</v>
      </c>
      <c r="O80" s="39">
        <f t="shared" si="9"/>
        <v>1.7407000469650633E-2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1296.25+4358.7+1692.8+1826.15+2712.7+2435.7+13281.7+1545.3+3572.95+1655+17385.05</f>
        <v>51762.3</v>
      </c>
      <c r="N84" s="29">
        <f t="shared" si="3"/>
        <v>95021.8</v>
      </c>
      <c r="O84" s="39">
        <f t="shared" ref="O84:O120" si="12">M84/$M$139</f>
        <v>9.456608143173232E-3</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v>252.5</v>
      </c>
      <c r="N86" s="29">
        <f t="shared" si="3"/>
        <v>1747.5</v>
      </c>
      <c r="O86" s="39">
        <f t="shared" si="12"/>
        <v>4.6129974057397781E-5</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v>240</v>
      </c>
      <c r="N88" s="29">
        <f t="shared" si="3"/>
        <v>4760</v>
      </c>
      <c r="O88" s="39">
        <f t="shared" si="12"/>
        <v>4.3846311975348387E-5</v>
      </c>
    </row>
    <row r="89" spans="1:15" ht="15.95" customHeight="1" x14ac:dyDescent="0.2">
      <c r="A89" s="42" t="s">
        <v>124</v>
      </c>
      <c r="B89" s="30" t="s">
        <v>63</v>
      </c>
      <c r="C89" s="29">
        <v>33800</v>
      </c>
      <c r="D89" s="29"/>
      <c r="E89" s="29"/>
      <c r="F89" s="45"/>
      <c r="G89" s="45"/>
      <c r="H89" s="29"/>
      <c r="I89" s="29"/>
      <c r="J89" s="45"/>
      <c r="K89" s="45"/>
      <c r="L89" s="29">
        <f t="shared" si="11"/>
        <v>33800</v>
      </c>
      <c r="M89" s="29">
        <f>752+10750+13545</f>
        <v>25047</v>
      </c>
      <c r="N89" s="29">
        <f t="shared" si="3"/>
        <v>8753</v>
      </c>
      <c r="O89" s="39">
        <f t="shared" si="12"/>
        <v>4.5759107335272961E-3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485+485+485+485+359.7+583+485+4.5+439</f>
        <v>3811.2</v>
      </c>
      <c r="N90" s="29">
        <f t="shared" si="3"/>
        <v>1438.8000000000002</v>
      </c>
      <c r="O90" s="39">
        <f t="shared" si="12"/>
        <v>6.9627943416853235E-4</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906.45+36+1516.82+23.75+960.55+835.85+43.75+1103.94+23.75+551.97+1195.29</f>
        <v>7198.1200000000008</v>
      </c>
      <c r="N91" s="29">
        <f t="shared" si="3"/>
        <v>3301.8799999999992</v>
      </c>
      <c r="O91" s="39">
        <f t="shared" si="12"/>
        <v>1.3150458964833116E-3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660.7+141.3+103+244.8+223.2</f>
        <v>1373</v>
      </c>
      <c r="N92" s="29">
        <f t="shared" si="3"/>
        <v>1677</v>
      </c>
      <c r="O92" s="39">
        <f t="shared" si="12"/>
        <v>2.5083744309230553E-4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v>71.66</v>
      </c>
      <c r="N95" s="29">
        <f t="shared" si="3"/>
        <v>2628.34</v>
      </c>
      <c r="O95" s="39">
        <f t="shared" si="12"/>
        <v>1.3091777983972772E-5</v>
      </c>
    </row>
    <row r="96" spans="1:15" ht="15.95" customHeight="1" x14ac:dyDescent="0.2">
      <c r="A96" s="42" t="s">
        <v>197</v>
      </c>
      <c r="B96" s="30" t="s">
        <v>198</v>
      </c>
      <c r="C96" s="29">
        <v>2800</v>
      </c>
      <c r="D96" s="29"/>
      <c r="E96" s="29"/>
      <c r="F96" s="45"/>
      <c r="G96" s="45"/>
      <c r="H96" s="29"/>
      <c r="I96" s="29"/>
      <c r="J96" s="45"/>
      <c r="K96" s="45"/>
      <c r="L96" s="29">
        <f t="shared" si="11"/>
        <v>2800</v>
      </c>
      <c r="M96" s="29">
        <f>23.5+23.5+23.5+29</f>
        <v>99.5</v>
      </c>
      <c r="N96" s="29">
        <f t="shared" si="3"/>
        <v>2700.5</v>
      </c>
      <c r="O96" s="39">
        <f t="shared" si="12"/>
        <v>1.8177950173113183E-5</v>
      </c>
    </row>
    <row r="97" spans="1:15" ht="15.95" customHeight="1" x14ac:dyDescent="0.2">
      <c r="A97" s="42" t="s">
        <v>131</v>
      </c>
      <c r="B97" s="30" t="s">
        <v>68</v>
      </c>
      <c r="C97" s="29">
        <v>8500</v>
      </c>
      <c r="D97" s="29"/>
      <c r="E97" s="29"/>
      <c r="F97" s="45"/>
      <c r="G97" s="45"/>
      <c r="H97" s="29">
        <v>5000</v>
      </c>
      <c r="I97" s="29"/>
      <c r="J97" s="45"/>
      <c r="K97" s="45"/>
      <c r="L97" s="29">
        <f t="shared" si="11"/>
        <v>13500</v>
      </c>
      <c r="M97" s="29">
        <f>270+340.02+1364.45+745+1028.98+290.05+1492.34+1126.25+615+1136.29+1798.43</f>
        <v>10206.810000000001</v>
      </c>
      <c r="N97" s="29">
        <f t="shared" si="3"/>
        <v>3293.1899999999987</v>
      </c>
      <c r="O97" s="39">
        <f t="shared" si="12"/>
        <v>1.8647123980546072E-3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862.5+340+218.4+362+940.4+218.4+1875+220.75</f>
        <v>5037.4500000000007</v>
      </c>
      <c r="N99" s="29">
        <f t="shared" si="3"/>
        <v>12462.55</v>
      </c>
      <c r="O99" s="39">
        <f t="shared" si="12"/>
        <v>9.2030668441757813E-4</v>
      </c>
    </row>
    <row r="100" spans="1:15" ht="15.95" customHeight="1" x14ac:dyDescent="0.2">
      <c r="A100" s="42" t="s">
        <v>134</v>
      </c>
      <c r="B100" s="30" t="s">
        <v>200</v>
      </c>
      <c r="C100" s="29">
        <v>3000</v>
      </c>
      <c r="D100" s="29"/>
      <c r="E100" s="29"/>
      <c r="F100" s="45"/>
      <c r="G100" s="45"/>
      <c r="H100" s="29">
        <v>5000</v>
      </c>
      <c r="I100" s="29"/>
      <c r="J100" s="45"/>
      <c r="K100" s="45"/>
      <c r="L100" s="29">
        <f t="shared" si="11"/>
        <v>8000</v>
      </c>
      <c r="M100" s="29">
        <f>67.75+182.63+3.55+237.64+423.48+1967.44+332.62+113.8+378.78+79.2</f>
        <v>3786.8899999999994</v>
      </c>
      <c r="N100" s="29">
        <f t="shared" si="3"/>
        <v>4213.1100000000006</v>
      </c>
      <c r="O100" s="39">
        <f t="shared" si="12"/>
        <v>6.9183816815136258E-4</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1.1801965640031274E-4</v>
      </c>
    </row>
    <row r="102" spans="1:15" ht="15.95" customHeight="1" x14ac:dyDescent="0.2">
      <c r="A102" s="42" t="s">
        <v>136</v>
      </c>
      <c r="B102" s="30" t="s">
        <v>70</v>
      </c>
      <c r="C102" s="29">
        <v>181653.08</v>
      </c>
      <c r="D102" s="29"/>
      <c r="E102" s="29"/>
      <c r="F102" s="45">
        <v>268346.92</v>
      </c>
      <c r="G102" s="45"/>
      <c r="H102" s="29"/>
      <c r="I102" s="29"/>
      <c r="J102" s="45"/>
      <c r="K102" s="45"/>
      <c r="L102" s="29">
        <f t="shared" si="11"/>
        <v>450000</v>
      </c>
      <c r="M102" s="29">
        <f>203220.76+86151.08+1351.52+202271.76</f>
        <v>492995.12000000005</v>
      </c>
      <c r="N102" s="29">
        <f t="shared" si="15"/>
        <v>-42995.120000000054</v>
      </c>
      <c r="O102" s="39">
        <f t="shared" si="12"/>
        <v>9.0066740974351314E-2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v>567</v>
      </c>
      <c r="N105" s="29">
        <f t="shared" si="15"/>
        <v>933</v>
      </c>
      <c r="O105" s="39">
        <f t="shared" si="12"/>
        <v>1.0358691204176056E-4</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16.52+71.1+1324.95+68+647.69</f>
        <v>2128.2600000000002</v>
      </c>
      <c r="N109" s="29">
        <f t="shared" si="15"/>
        <v>2671.74</v>
      </c>
      <c r="O109" s="39">
        <f t="shared" si="12"/>
        <v>3.8881813301939566E-4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1300000</v>
      </c>
      <c r="D111" s="29"/>
      <c r="E111" s="29"/>
      <c r="F111" s="45">
        <v>150000</v>
      </c>
      <c r="G111" s="45"/>
      <c r="H111" s="29"/>
      <c r="I111" s="29">
        <v>882000</v>
      </c>
      <c r="J111" s="45"/>
      <c r="K111" s="45"/>
      <c r="L111" s="29">
        <f>C111+D111-E111+F111-G111+H111+J111-I111-K111</f>
        <v>568000</v>
      </c>
      <c r="M111" s="29">
        <f>73800+13360</f>
        <v>87160</v>
      </c>
      <c r="N111" s="29">
        <f t="shared" si="15"/>
        <v>480840</v>
      </c>
      <c r="O111" s="39">
        <f t="shared" si="12"/>
        <v>1.592351896571402E-2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75+59+201.5+465.64+110+780-191.14</f>
        <v>1500</v>
      </c>
      <c r="N112" s="29">
        <f t="shared" si="15"/>
        <v>0</v>
      </c>
      <c r="O112" s="39">
        <f t="shared" si="12"/>
        <v>2.7403944984592739E-4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72.75+278.7+70.45+304+137.25+125.2+826.3+108.3+67.2+82.38</f>
        <v>2072.5300000000002</v>
      </c>
      <c r="N114" s="29">
        <f t="shared" si="15"/>
        <v>4527.4699999999993</v>
      </c>
      <c r="O114" s="39">
        <f t="shared" si="12"/>
        <v>3.7863665399278664E-4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54.99+178.05+82.2+61.98+62.8+573.25+320.78+184.85+275.4+250.85</f>
        <v>2045.1499999999996</v>
      </c>
      <c r="N115" s="29">
        <f t="shared" si="15"/>
        <v>1954.8500000000004</v>
      </c>
      <c r="O115" s="39">
        <f t="shared" si="12"/>
        <v>3.7363452056826554E-4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f>345+900</f>
        <v>1245</v>
      </c>
      <c r="N116" s="29">
        <f t="shared" si="15"/>
        <v>24006.9</v>
      </c>
      <c r="O116" s="39">
        <f t="shared" si="12"/>
        <v>2.2745274337211975E-4</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753.25+778.43+66.49+47.48</f>
        <v>1645.6499999999999</v>
      </c>
      <c r="N117" s="29">
        <f t="shared" si="15"/>
        <v>354.35000000000014</v>
      </c>
      <c r="O117" s="39">
        <f t="shared" si="12"/>
        <v>3.0064868042596691E-4</v>
      </c>
    </row>
    <row r="118" spans="1:15" ht="15.95" customHeight="1" x14ac:dyDescent="0.2">
      <c r="A118" s="42" t="s">
        <v>145</v>
      </c>
      <c r="B118" s="30" t="s">
        <v>211</v>
      </c>
      <c r="C118" s="29">
        <v>9500</v>
      </c>
      <c r="D118" s="29"/>
      <c r="E118" s="29"/>
      <c r="F118" s="45"/>
      <c r="G118" s="45"/>
      <c r="H118" s="29"/>
      <c r="I118" s="29"/>
      <c r="J118" s="45"/>
      <c r="K118" s="45"/>
      <c r="L118" s="29">
        <f t="shared" si="11"/>
        <v>9500</v>
      </c>
      <c r="M118" s="29">
        <f>45.7+130+478.4</f>
        <v>654.09999999999991</v>
      </c>
      <c r="N118" s="29">
        <f t="shared" si="15"/>
        <v>8845.9</v>
      </c>
      <c r="O118" s="39">
        <f t="shared" si="12"/>
        <v>1.1949946942948072E-4</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f>145+21234.9+240.03</f>
        <v>21619.93</v>
      </c>
      <c r="N119" s="29">
        <f t="shared" si="15"/>
        <v>78380.070000000007</v>
      </c>
      <c r="O119" s="39">
        <f t="shared" si="12"/>
        <v>3.9498091486049741E-3</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42+186.6+322.03+426.75+171.8+295+3370+109.7+1495</f>
        <v>6418.88</v>
      </c>
      <c r="N120" s="29">
        <f t="shared" si="15"/>
        <v>3081.12</v>
      </c>
      <c r="O120" s="39">
        <f t="shared" si="12"/>
        <v>1.1726842292180176E-3</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5.4796928391191648E-4</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7.3815083517532448E-3</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4.3374964121613386E-3</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f>1036.46+30013.7</f>
        <v>31050.16</v>
      </c>
      <c r="N135" s="29">
        <f t="shared" si="15"/>
        <v>154849.84</v>
      </c>
      <c r="O135" s="39">
        <f>M135/$M$139</f>
        <v>5.6726458426853473E-3</v>
      </c>
    </row>
    <row r="136" spans="1:15" ht="15.95" customHeight="1" x14ac:dyDescent="0.2">
      <c r="A136" s="42" t="s">
        <v>224</v>
      </c>
      <c r="B136" s="30" t="s">
        <v>225</v>
      </c>
      <c r="C136" s="29">
        <v>7170</v>
      </c>
      <c r="D136" s="29"/>
      <c r="E136" s="29"/>
      <c r="F136" s="29"/>
      <c r="G136" s="29"/>
      <c r="H136" s="29"/>
      <c r="I136" s="29"/>
      <c r="J136" s="45"/>
      <c r="K136" s="45"/>
      <c r="L136" s="29">
        <f t="shared" si="18"/>
        <v>7170</v>
      </c>
      <c r="M136" s="29">
        <f>706.2+4750</f>
        <v>5456.2</v>
      </c>
      <c r="N136" s="29">
        <f t="shared" si="15"/>
        <v>1713.8000000000002</v>
      </c>
      <c r="O136" s="39">
        <f>M136/$M$139</f>
        <v>9.9680936416623274E-4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1000+1500+1500+1500+1500+1500+1500+1500+1500</f>
        <v>13000</v>
      </c>
      <c r="N137" s="29">
        <f t="shared" si="15"/>
        <v>57000</v>
      </c>
      <c r="O137" s="39">
        <f>M137/$M$139</f>
        <v>2.3750085653313708E-3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f>2461.75+1867.43</f>
        <v>4329.18</v>
      </c>
      <c r="N138" s="29">
        <f t="shared" si="15"/>
        <v>4420.82</v>
      </c>
      <c r="O138" s="39">
        <f>M138/$M$139</f>
        <v>7.909107369893281E-4</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1242500</v>
      </c>
      <c r="I139" s="35">
        <f t="shared" si="20"/>
        <v>1242500</v>
      </c>
      <c r="J139" s="65">
        <f t="shared" si="20"/>
        <v>0</v>
      </c>
      <c r="K139" s="65">
        <f t="shared" si="20"/>
        <v>0</v>
      </c>
      <c r="L139" s="35">
        <f>SUM(L31:L138)</f>
        <v>8258523.6200000001</v>
      </c>
      <c r="M139" s="35">
        <f>SUM(M31:M138)</f>
        <v>5473664.4700000007</v>
      </c>
      <c r="N139" s="35">
        <f t="shared" si="20"/>
        <v>2784859.1499999994</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c r="D151" s="48"/>
      <c r="E151" s="4"/>
      <c r="F151" s="4"/>
      <c r="G151" s="4"/>
      <c r="H151" s="4"/>
      <c r="I151" s="4"/>
      <c r="J151" s="67"/>
      <c r="K151" s="67"/>
      <c r="L151" s="4"/>
    </row>
    <row r="152" spans="1:13" x14ac:dyDescent="0.2">
      <c r="A152" s="55" t="s">
        <v>85</v>
      </c>
      <c r="B152" s="53"/>
      <c r="C152" s="70">
        <f>M26</f>
        <v>6232983.29</v>
      </c>
      <c r="D152" s="48"/>
      <c r="E152" s="4"/>
      <c r="F152" s="4"/>
      <c r="G152" s="4"/>
      <c r="H152" s="4"/>
      <c r="I152" s="4"/>
      <c r="J152" s="67"/>
      <c r="K152" s="67"/>
      <c r="L152" s="4"/>
    </row>
    <row r="153" spans="1:13" x14ac:dyDescent="0.2">
      <c r="A153" s="55" t="s">
        <v>86</v>
      </c>
      <c r="B153" s="53"/>
      <c r="C153" s="71">
        <f>-M139</f>
        <v>-5473664.4700000007</v>
      </c>
      <c r="D153" s="4"/>
      <c r="E153" s="4"/>
      <c r="F153" s="4"/>
      <c r="G153" s="4"/>
      <c r="H153" s="4"/>
      <c r="I153" s="4"/>
      <c r="J153" s="67"/>
      <c r="K153" s="67"/>
      <c r="L153" s="4"/>
    </row>
    <row r="154" spans="1:13" ht="15.75" x14ac:dyDescent="0.25">
      <c r="A154" s="56" t="s">
        <v>87</v>
      </c>
      <c r="B154" s="57"/>
      <c r="C154" s="72">
        <f>SUM(C147:C153)</f>
        <v>3271769.0199999996</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0</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38.57</v>
      </c>
      <c r="D159" s="4"/>
      <c r="E159" s="4"/>
      <c r="F159" s="4"/>
      <c r="G159" s="4"/>
      <c r="H159" s="4"/>
      <c r="I159" s="4"/>
      <c r="J159" s="67"/>
      <c r="K159" s="67"/>
      <c r="L159" s="4"/>
    </row>
    <row r="160" spans="1:13" x14ac:dyDescent="0.2">
      <c r="A160" s="55" t="s">
        <v>151</v>
      </c>
      <c r="B160" s="53"/>
      <c r="C160" s="70">
        <f>5930.19+2684.44+555.78+35.42</f>
        <v>9205.83</v>
      </c>
      <c r="D160" s="80"/>
      <c r="E160" s="4"/>
      <c r="F160" s="4"/>
      <c r="G160" s="4"/>
      <c r="H160" s="4"/>
      <c r="I160" s="4"/>
      <c r="J160" s="67"/>
      <c r="K160" s="67"/>
      <c r="L160" s="4"/>
    </row>
    <row r="161" spans="1:13" x14ac:dyDescent="0.2">
      <c r="A161" s="55" t="s">
        <v>150</v>
      </c>
      <c r="B161" s="53"/>
      <c r="C161" s="70">
        <v>2024.05</v>
      </c>
      <c r="D161" s="81"/>
      <c r="E161" s="4"/>
      <c r="F161" s="4"/>
      <c r="G161" s="4"/>
      <c r="H161" s="4"/>
      <c r="I161" s="4"/>
      <c r="J161" s="67"/>
      <c r="K161" s="67"/>
      <c r="L161" s="4"/>
    </row>
    <row r="162" spans="1:13" x14ac:dyDescent="0.2">
      <c r="A162" s="55" t="s">
        <v>149</v>
      </c>
      <c r="B162" s="53"/>
      <c r="C162" s="70">
        <f>8471.05+16.07+703.12</f>
        <v>9190.24</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278</v>
      </c>
      <c r="B164" s="53"/>
      <c r="C164" s="70">
        <f>-191.14-163.24</f>
        <v>-354.38</v>
      </c>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20104.309999999998</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3291873.3299999996</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277</v>
      </c>
      <c r="B172" s="59"/>
      <c r="C172" s="69">
        <f>C154+C167</f>
        <v>3291873.3299999996</v>
      </c>
      <c r="D172" s="82"/>
      <c r="E172" s="4"/>
      <c r="F172" s="4"/>
      <c r="G172" s="4"/>
      <c r="H172" s="4"/>
      <c r="I172" s="4"/>
      <c r="J172" s="67"/>
      <c r="K172" s="67"/>
      <c r="L172" s="4"/>
      <c r="M172" s="4"/>
    </row>
    <row r="173" spans="1:13" x14ac:dyDescent="0.2">
      <c r="A173" s="53"/>
      <c r="B173" s="87" t="s">
        <v>285</v>
      </c>
      <c r="C173" s="4"/>
      <c r="D173" s="4"/>
      <c r="E173" s="4"/>
      <c r="F173" s="4"/>
      <c r="G173" s="4"/>
      <c r="H173" s="4"/>
      <c r="I173" s="4"/>
      <c r="J173" s="67"/>
      <c r="K173" s="67"/>
      <c r="L173" s="4"/>
    </row>
    <row r="174" spans="1:13" x14ac:dyDescent="0.2">
      <c r="B174" s="87" t="s">
        <v>286</v>
      </c>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85" t="s">
        <v>240</v>
      </c>
      <c r="E184" s="86" t="s">
        <v>230</v>
      </c>
      <c r="G184" s="85"/>
      <c r="K184" s="75"/>
    </row>
    <row r="185" spans="2:12" x14ac:dyDescent="0.2">
      <c r="B185" s="85" t="s">
        <v>283</v>
      </c>
      <c r="E185" s="86" t="s">
        <v>284</v>
      </c>
      <c r="G185" s="85"/>
    </row>
    <row r="189" spans="2:12" x14ac:dyDescent="0.2">
      <c r="I189" s="4"/>
      <c r="J189" s="86" t="s">
        <v>272</v>
      </c>
      <c r="K189" s="67"/>
      <c r="L189" s="4"/>
    </row>
    <row r="190" spans="2:12" x14ac:dyDescent="0.2">
      <c r="I190" s="4"/>
      <c r="J190" s="85" t="s">
        <v>246</v>
      </c>
      <c r="K190" s="67"/>
      <c r="L190" s="4"/>
    </row>
    <row r="191" spans="2:12" x14ac:dyDescent="0.2">
      <c r="G191" s="60"/>
      <c r="I191" s="60"/>
      <c r="K191" s="68"/>
      <c r="L191" s="4"/>
    </row>
    <row r="192" spans="2:12" x14ac:dyDescent="0.2">
      <c r="G192" s="60"/>
      <c r="I192" s="60"/>
      <c r="K192" s="68"/>
      <c r="L192" s="4"/>
    </row>
    <row r="193" spans="2:12" x14ac:dyDescent="0.2">
      <c r="G193" s="60"/>
      <c r="L193" s="4"/>
    </row>
    <row r="194" spans="2:12" x14ac:dyDescent="0.2">
      <c r="G194" s="60"/>
    </row>
    <row r="195" spans="2:12" x14ac:dyDescent="0.2">
      <c r="B195" s="85" t="s">
        <v>279</v>
      </c>
      <c r="E195" s="86" t="s">
        <v>280</v>
      </c>
      <c r="G195" s="60"/>
    </row>
    <row r="196" spans="2:12" x14ac:dyDescent="0.2">
      <c r="B196" s="85" t="s">
        <v>282</v>
      </c>
      <c r="E196" s="86" t="s">
        <v>281</v>
      </c>
      <c r="G196" s="60"/>
      <c r="L196" s="4"/>
    </row>
    <row r="197" spans="2:12" x14ac:dyDescent="0.2">
      <c r="G197" s="60"/>
    </row>
    <row r="198" spans="2:12" x14ac:dyDescent="0.2">
      <c r="G198" s="60"/>
    </row>
    <row r="199" spans="2:12" x14ac:dyDescent="0.2">
      <c r="G199" s="60"/>
    </row>
    <row r="200" spans="2:12" x14ac:dyDescent="0.2">
      <c r="G200" s="60"/>
    </row>
    <row r="201" spans="2:12" x14ac:dyDescent="0.2">
      <c r="G201" s="60"/>
    </row>
    <row r="202" spans="2:12" x14ac:dyDescent="0.2">
      <c r="G202" s="60"/>
    </row>
    <row r="203" spans="2:12" x14ac:dyDescent="0.2">
      <c r="G203" s="60"/>
    </row>
    <row r="204" spans="2:12" x14ac:dyDescent="0.2">
      <c r="G204" s="60"/>
    </row>
    <row r="205" spans="2:12" x14ac:dyDescent="0.2">
      <c r="G205" s="60"/>
    </row>
    <row r="206" spans="2:12" x14ac:dyDescent="0.2">
      <c r="G206" s="60"/>
    </row>
    <row r="207" spans="2:12" x14ac:dyDescent="0.2">
      <c r="G207" s="60"/>
    </row>
    <row r="208" spans="2: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ignoredErrors>
    <ignoredError sqref="L111"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6DA12-1240-4EBD-A231-F29772514CF3}">
  <dimension ref="A1:O206"/>
  <sheetViews>
    <sheetView topLeftCell="G129" zoomScaleNormal="100" workbookViewId="0">
      <selection activeCell="M89" sqref="M89"/>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f>
        <v>16600</v>
      </c>
      <c r="N10" s="29">
        <f t="shared" ref="N10:N22" si="1">L10-M10</f>
        <v>20400</v>
      </c>
      <c r="O10" s="28">
        <f>M10/$M$26</f>
        <v>2.728804100452276E-2</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c r="N12" s="29">
        <f t="shared" si="1"/>
        <v>30500</v>
      </c>
      <c r="O12" s="28">
        <f>M12/$M$26</f>
        <v>0</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v>1350.3</v>
      </c>
      <c r="N15" s="29">
        <f t="shared" si="1"/>
        <v>7449.7</v>
      </c>
      <c r="O15" s="28">
        <f>M15/$M$26</f>
        <v>2.2197013113498241E-3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f>
        <v>590374.79</v>
      </c>
      <c r="N18" s="29">
        <f t="shared" si="1"/>
        <v>3079574.73</v>
      </c>
      <c r="O18" s="28">
        <f>M18/$M$26</f>
        <v>0.97049225768412739</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c r="H20" s="29"/>
      <c r="I20" s="29"/>
      <c r="J20" s="45"/>
      <c r="K20" s="45"/>
      <c r="L20" s="29">
        <f t="shared" si="0"/>
        <v>2685493.4</v>
      </c>
      <c r="M20" s="29"/>
      <c r="N20" s="29">
        <f t="shared" si="1"/>
        <v>2685493.4</v>
      </c>
      <c r="O20" s="28">
        <f>M20/$M$26</f>
        <v>0</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c r="G25" s="29"/>
      <c r="H25" s="29"/>
      <c r="I25" s="29"/>
      <c r="J25" s="45"/>
      <c r="K25" s="45"/>
      <c r="L25" s="29">
        <f>C25+D25-E25+F25-G25+J25-K25</f>
        <v>1492732.86</v>
      </c>
      <c r="M25" s="29"/>
      <c r="N25" s="29">
        <f>L25-M25</f>
        <v>1492732.86</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0</v>
      </c>
      <c r="G26" s="35">
        <f t="shared" si="2"/>
        <v>0</v>
      </c>
      <c r="H26" s="35">
        <f t="shared" si="2"/>
        <v>0</v>
      </c>
      <c r="I26" s="35">
        <f t="shared" si="2"/>
        <v>0</v>
      </c>
      <c r="J26" s="35">
        <f t="shared" si="2"/>
        <v>0</v>
      </c>
      <c r="K26" s="35">
        <f t="shared" si="2"/>
        <v>0</v>
      </c>
      <c r="L26" s="35">
        <f t="shared" si="2"/>
        <v>8258523.6200000001</v>
      </c>
      <c r="M26" s="35">
        <f>SUM(M10:M25)</f>
        <v>608325.09000000008</v>
      </c>
      <c r="N26" s="35">
        <f t="shared" si="2"/>
        <v>7650198.5300000003</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c r="H31" s="29"/>
      <c r="I31" s="29"/>
      <c r="J31" s="45"/>
      <c r="K31" s="45"/>
      <c r="L31" s="29">
        <f>C31+D31-E31+F31-G31+H31+J31-I31-K31</f>
        <v>814572.04</v>
      </c>
      <c r="M31" s="29">
        <f>62931.76+63078.14</f>
        <v>126009.9</v>
      </c>
      <c r="N31" s="29">
        <f t="shared" ref="N31:N99" si="3">L31-M31</f>
        <v>688562.14</v>
      </c>
      <c r="O31" s="39">
        <f>M31/$M$138</f>
        <v>0.55678593616199601</v>
      </c>
    </row>
    <row r="32" spans="1:15" ht="15.95" customHeight="1" x14ac:dyDescent="0.2">
      <c r="A32" s="42" t="s">
        <v>37</v>
      </c>
      <c r="B32" s="30" t="s">
        <v>154</v>
      </c>
      <c r="C32" s="29">
        <v>13700</v>
      </c>
      <c r="D32" s="29"/>
      <c r="E32" s="29"/>
      <c r="F32" s="45"/>
      <c r="G32" s="45"/>
      <c r="H32" s="29"/>
      <c r="I32" s="29"/>
      <c r="J32" s="45"/>
      <c r="K32" s="45"/>
      <c r="L32" s="29">
        <f t="shared" ref="L32:L41" si="4">C32+D32-E32+F32-G32+H32+J32-K32</f>
        <v>13700</v>
      </c>
      <c r="M32" s="29">
        <f>1125+1125</f>
        <v>2250</v>
      </c>
      <c r="N32" s="29">
        <f t="shared" si="3"/>
        <v>11450</v>
      </c>
      <c r="O32" s="39">
        <f>M32/$M$138</f>
        <v>9.941824859510966E-3</v>
      </c>
    </row>
    <row r="33" spans="1:15" ht="15.95" customHeight="1" x14ac:dyDescent="0.2">
      <c r="A33" s="42" t="s">
        <v>38</v>
      </c>
      <c r="B33" s="30" t="s">
        <v>155</v>
      </c>
      <c r="C33" s="29">
        <v>311100</v>
      </c>
      <c r="D33" s="29"/>
      <c r="E33" s="29"/>
      <c r="F33" s="45"/>
      <c r="G33" s="45"/>
      <c r="H33" s="29"/>
      <c r="I33" s="29"/>
      <c r="J33" s="45"/>
      <c r="K33" s="45"/>
      <c r="L33" s="29">
        <f t="shared" si="4"/>
        <v>311100</v>
      </c>
      <c r="M33" s="29">
        <f>21149+21149</f>
        <v>42298</v>
      </c>
      <c r="N33" s="29">
        <f t="shared" si="3"/>
        <v>268802</v>
      </c>
      <c r="O33" s="39">
        <f>M33/$M$138</f>
        <v>0.18689747018115327</v>
      </c>
    </row>
    <row r="34" spans="1:15" ht="15.95" customHeight="1" x14ac:dyDescent="0.2">
      <c r="A34" s="42" t="s">
        <v>247</v>
      </c>
      <c r="B34" s="30" t="s">
        <v>248</v>
      </c>
      <c r="C34" s="29">
        <v>154000</v>
      </c>
      <c r="D34" s="29"/>
      <c r="E34" s="29"/>
      <c r="F34" s="45"/>
      <c r="G34" s="45"/>
      <c r="H34" s="29"/>
      <c r="I34" s="29"/>
      <c r="J34" s="45"/>
      <c r="K34" s="45"/>
      <c r="L34" s="29">
        <f t="shared" si="4"/>
        <v>154000</v>
      </c>
      <c r="M34" s="29"/>
      <c r="N34" s="29">
        <f t="shared" si="3"/>
        <v>154000</v>
      </c>
      <c r="O34" s="39">
        <f>M34/$M$138</f>
        <v>0</v>
      </c>
    </row>
    <row r="35" spans="1:15" ht="15.95" customHeight="1" x14ac:dyDescent="0.2">
      <c r="A35" s="42" t="s">
        <v>39</v>
      </c>
      <c r="B35" s="30" t="s">
        <v>40</v>
      </c>
      <c r="C35" s="29">
        <v>17500</v>
      </c>
      <c r="D35" s="29"/>
      <c r="E35" s="29"/>
      <c r="F35" s="45"/>
      <c r="G35" s="45"/>
      <c r="H35" s="29"/>
      <c r="I35" s="29"/>
      <c r="J35" s="45"/>
      <c r="K35" s="45"/>
      <c r="L35" s="29">
        <f t="shared" si="4"/>
        <v>17500</v>
      </c>
      <c r="M35" s="29"/>
      <c r="N35" s="29">
        <f t="shared" si="3"/>
        <v>17500</v>
      </c>
      <c r="O35" s="39">
        <f t="shared" ref="O35:O41" si="5">M35/$M$138</f>
        <v>0</v>
      </c>
    </row>
    <row r="36" spans="1:15" ht="15.95" customHeight="1" x14ac:dyDescent="0.2">
      <c r="A36" s="42" t="s">
        <v>41</v>
      </c>
      <c r="B36" s="30" t="s">
        <v>156</v>
      </c>
      <c r="C36" s="29">
        <v>34510.800000000003</v>
      </c>
      <c r="D36" s="29"/>
      <c r="E36" s="29"/>
      <c r="F36" s="45"/>
      <c r="G36" s="45"/>
      <c r="H36" s="29"/>
      <c r="I36" s="29"/>
      <c r="J36" s="45"/>
      <c r="K36" s="45"/>
      <c r="L36" s="29">
        <f t="shared" si="4"/>
        <v>34510.800000000003</v>
      </c>
      <c r="M36" s="29"/>
      <c r="N36" s="29">
        <f t="shared" si="3"/>
        <v>34510.800000000003</v>
      </c>
      <c r="O36" s="39">
        <f t="shared" si="5"/>
        <v>0</v>
      </c>
    </row>
    <row r="37" spans="1:15" ht="15.95" customHeight="1" x14ac:dyDescent="0.2">
      <c r="A37" s="42" t="s">
        <v>42</v>
      </c>
      <c r="B37" s="30" t="s">
        <v>157</v>
      </c>
      <c r="C37" s="29">
        <v>87401.15</v>
      </c>
      <c r="D37" s="29"/>
      <c r="E37" s="29"/>
      <c r="F37" s="45"/>
      <c r="G37" s="45"/>
      <c r="H37" s="29"/>
      <c r="I37" s="29"/>
      <c r="J37" s="45"/>
      <c r="K37" s="45"/>
      <c r="L37" s="29">
        <f t="shared" si="4"/>
        <v>87401.15</v>
      </c>
      <c r="M37" s="29">
        <f>6536.21+6924.6</f>
        <v>13460.810000000001</v>
      </c>
      <c r="N37" s="29">
        <f t="shared" si="3"/>
        <v>73940.34</v>
      </c>
      <c r="O37" s="39">
        <f t="shared" si="5"/>
        <v>5.947778466095726E-2</v>
      </c>
    </row>
    <row r="38" spans="1:15" ht="15.95" customHeight="1" x14ac:dyDescent="0.2">
      <c r="A38" s="42" t="s">
        <v>43</v>
      </c>
      <c r="B38" s="30" t="s">
        <v>158</v>
      </c>
      <c r="C38" s="29">
        <v>8190.84</v>
      </c>
      <c r="D38" s="29"/>
      <c r="E38" s="29"/>
      <c r="F38" s="45"/>
      <c r="G38" s="45"/>
      <c r="H38" s="29"/>
      <c r="I38" s="29"/>
      <c r="J38" s="45"/>
      <c r="K38" s="45"/>
      <c r="L38" s="29">
        <f t="shared" si="4"/>
        <v>8190.84</v>
      </c>
      <c r="M38" s="29">
        <f>587.53+672.57</f>
        <v>1260.0999999999999</v>
      </c>
      <c r="N38" s="29">
        <f t="shared" si="3"/>
        <v>6930.74</v>
      </c>
      <c r="O38" s="39">
        <f t="shared" si="5"/>
        <v>5.5678637802087858E-3</v>
      </c>
    </row>
    <row r="39" spans="1:15" ht="15.95" customHeight="1" x14ac:dyDescent="0.2">
      <c r="A39" s="42" t="s">
        <v>44</v>
      </c>
      <c r="B39" s="30" t="s">
        <v>45</v>
      </c>
      <c r="C39" s="29">
        <v>67581.009999999995</v>
      </c>
      <c r="D39" s="29"/>
      <c r="E39" s="29"/>
      <c r="F39" s="45"/>
      <c r="G39" s="45"/>
      <c r="H39" s="29"/>
      <c r="I39" s="29"/>
      <c r="J39" s="45"/>
      <c r="K39" s="45"/>
      <c r="L39" s="29">
        <f t="shared" si="4"/>
        <v>67581.009999999995</v>
      </c>
      <c r="M39" s="29"/>
      <c r="N39" s="29">
        <f t="shared" si="3"/>
        <v>67581.009999999995</v>
      </c>
      <c r="O39" s="39">
        <f t="shared" si="5"/>
        <v>0</v>
      </c>
    </row>
    <row r="40" spans="1:15" ht="15.95" customHeight="1" x14ac:dyDescent="0.2">
      <c r="A40" s="42" t="s">
        <v>46</v>
      </c>
      <c r="B40" s="30" t="s">
        <v>159</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47</v>
      </c>
      <c r="B41" s="30" t="s">
        <v>48</v>
      </c>
      <c r="C41" s="29">
        <v>4400</v>
      </c>
      <c r="D41" s="29"/>
      <c r="E41" s="29"/>
      <c r="F41" s="45"/>
      <c r="G41" s="45"/>
      <c r="H41" s="29"/>
      <c r="I41" s="29"/>
      <c r="J41" s="45"/>
      <c r="K41" s="45"/>
      <c r="L41" s="29">
        <f t="shared" si="4"/>
        <v>4400</v>
      </c>
      <c r="M41" s="29"/>
      <c r="N41" s="29">
        <f t="shared" si="3"/>
        <v>4400</v>
      </c>
      <c r="O41" s="39">
        <f t="shared" si="5"/>
        <v>0</v>
      </c>
    </row>
    <row r="42" spans="1:15" ht="15.95" customHeight="1" x14ac:dyDescent="0.2">
      <c r="A42" s="42"/>
      <c r="B42" s="30"/>
      <c r="C42" s="29"/>
      <c r="D42" s="29"/>
      <c r="E42" s="29"/>
      <c r="F42" s="45"/>
      <c r="G42" s="45"/>
      <c r="H42" s="29"/>
      <c r="I42" s="29"/>
      <c r="J42" s="45"/>
      <c r="K42" s="45"/>
      <c r="L42" s="29"/>
      <c r="M42" s="29"/>
      <c r="N42" s="29"/>
      <c r="O42" s="39"/>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5">
      <c r="A44" s="40">
        <v>1</v>
      </c>
      <c r="B44" s="41" t="s">
        <v>49</v>
      </c>
      <c r="C44" s="27"/>
      <c r="D44" s="29"/>
      <c r="E44" s="29"/>
      <c r="F44" s="45"/>
      <c r="G44" s="45"/>
      <c r="H44" s="29"/>
      <c r="I44" s="29"/>
      <c r="J44" s="45"/>
      <c r="K44" s="45"/>
      <c r="L44" s="29"/>
      <c r="M44" s="29"/>
      <c r="N44" s="29"/>
      <c r="O44" s="39"/>
    </row>
    <row r="45" spans="1:15" ht="15.95" customHeight="1" x14ac:dyDescent="0.2">
      <c r="A45" s="42" t="s">
        <v>92</v>
      </c>
      <c r="B45" s="30" t="s">
        <v>50</v>
      </c>
      <c r="C45" s="29">
        <v>13750</v>
      </c>
      <c r="D45" s="29"/>
      <c r="E45" s="29"/>
      <c r="F45" s="45"/>
      <c r="G45" s="45"/>
      <c r="H45" s="29"/>
      <c r="I45" s="29"/>
      <c r="J45" s="45"/>
      <c r="K45" s="45"/>
      <c r="L45" s="29">
        <f t="shared" ref="L45:L79" si="6">C45+D45-E45+F45-G45+H45+J45-K45</f>
        <v>13750</v>
      </c>
      <c r="M45" s="29">
        <f>530.61+1202.11</f>
        <v>1732.7199999999998</v>
      </c>
      <c r="N45" s="29">
        <f t="shared" si="3"/>
        <v>12017.28</v>
      </c>
      <c r="O45" s="39">
        <f t="shared" ref="O45:O54" si="7">M45/$M$138</f>
        <v>7.6561772313652621E-3</v>
      </c>
    </row>
    <row r="46" spans="1:15" ht="15.95" customHeight="1" x14ac:dyDescent="0.2">
      <c r="A46" s="42" t="s">
        <v>93</v>
      </c>
      <c r="B46" s="30" t="s">
        <v>51</v>
      </c>
      <c r="C46" s="29">
        <v>26100</v>
      </c>
      <c r="D46" s="29"/>
      <c r="E46" s="29"/>
      <c r="F46" s="45"/>
      <c r="G46" s="45"/>
      <c r="H46" s="29"/>
      <c r="I46" s="29"/>
      <c r="J46" s="45"/>
      <c r="K46" s="45"/>
      <c r="L46" s="29">
        <f t="shared" si="6"/>
        <v>26100</v>
      </c>
      <c r="M46" s="29">
        <f>4693.76+608</f>
        <v>5301.76</v>
      </c>
      <c r="N46" s="29">
        <f t="shared" si="3"/>
        <v>20798.239999999998</v>
      </c>
      <c r="O46" s="39">
        <f t="shared" si="7"/>
        <v>2.3426297496515942E-2</v>
      </c>
    </row>
    <row r="47" spans="1:15" ht="15.95" customHeight="1" x14ac:dyDescent="0.2">
      <c r="A47" s="42" t="s">
        <v>94</v>
      </c>
      <c r="B47" s="30" t="s">
        <v>52</v>
      </c>
      <c r="C47" s="29">
        <v>2000</v>
      </c>
      <c r="D47" s="29"/>
      <c r="E47" s="29"/>
      <c r="F47" s="45"/>
      <c r="G47" s="45"/>
      <c r="H47" s="29"/>
      <c r="I47" s="29"/>
      <c r="J47" s="45"/>
      <c r="K47" s="45"/>
      <c r="L47" s="29">
        <f t="shared" si="6"/>
        <v>2000</v>
      </c>
      <c r="M47" s="29"/>
      <c r="N47" s="29">
        <f t="shared" si="3"/>
        <v>2000</v>
      </c>
      <c r="O47" s="39">
        <f t="shared" si="7"/>
        <v>0</v>
      </c>
    </row>
    <row r="48" spans="1:15" ht="15.95" customHeight="1" x14ac:dyDescent="0.2">
      <c r="A48" s="42" t="s">
        <v>95</v>
      </c>
      <c r="B48" s="30" t="s">
        <v>160</v>
      </c>
      <c r="C48" s="29">
        <v>8000</v>
      </c>
      <c r="D48" s="29"/>
      <c r="E48" s="29"/>
      <c r="F48" s="45"/>
      <c r="G48" s="45"/>
      <c r="H48" s="29"/>
      <c r="I48" s="29"/>
      <c r="J48" s="45"/>
      <c r="K48" s="45"/>
      <c r="L48" s="29">
        <f t="shared" si="6"/>
        <v>8000</v>
      </c>
      <c r="M48" s="29">
        <v>1020</v>
      </c>
      <c r="N48" s="29">
        <f t="shared" si="3"/>
        <v>6980</v>
      </c>
      <c r="O48" s="39">
        <f t="shared" si="7"/>
        <v>4.5069606029783053E-3</v>
      </c>
    </row>
    <row r="49" spans="1:15" ht="15.95" customHeight="1" x14ac:dyDescent="0.2">
      <c r="A49" s="42" t="s">
        <v>96</v>
      </c>
      <c r="B49" s="30" t="s">
        <v>161</v>
      </c>
      <c r="C49" s="29">
        <v>14250</v>
      </c>
      <c r="D49" s="29"/>
      <c r="E49" s="29"/>
      <c r="F49" s="45"/>
      <c r="G49" s="45"/>
      <c r="H49" s="29"/>
      <c r="I49" s="29"/>
      <c r="J49" s="45"/>
      <c r="K49" s="45"/>
      <c r="L49" s="29">
        <f t="shared" si="6"/>
        <v>14250</v>
      </c>
      <c r="M49" s="29">
        <f>18.9+13.5</f>
        <v>32.4</v>
      </c>
      <c r="N49" s="29">
        <f t="shared" si="3"/>
        <v>14217.6</v>
      </c>
      <c r="O49" s="39">
        <f t="shared" si="7"/>
        <v>1.4316227797695792E-4</v>
      </c>
    </row>
    <row r="50" spans="1:15" ht="15.95" customHeight="1" x14ac:dyDescent="0.2">
      <c r="A50" s="42" t="s">
        <v>97</v>
      </c>
      <c r="B50" s="30" t="s">
        <v>162</v>
      </c>
      <c r="C50" s="29">
        <v>673088.47</v>
      </c>
      <c r="D50" s="29"/>
      <c r="E50" s="29"/>
      <c r="F50" s="45"/>
      <c r="G50" s="45"/>
      <c r="H50" s="29"/>
      <c r="I50" s="29"/>
      <c r="J50" s="45"/>
      <c r="K50" s="45"/>
      <c r="L50" s="29">
        <f t="shared" si="6"/>
        <v>673088.47</v>
      </c>
      <c r="M50" s="29"/>
      <c r="N50" s="29">
        <f t="shared" si="3"/>
        <v>673088.47</v>
      </c>
      <c r="O50" s="39">
        <f t="shared" si="7"/>
        <v>0</v>
      </c>
    </row>
    <row r="51" spans="1:15" ht="15.95" customHeight="1" x14ac:dyDescent="0.2">
      <c r="A51" s="42" t="s">
        <v>98</v>
      </c>
      <c r="B51" s="30" t="s">
        <v>53</v>
      </c>
      <c r="C51" s="29">
        <v>563742.69999999995</v>
      </c>
      <c r="D51" s="29"/>
      <c r="E51" s="29"/>
      <c r="F51" s="45"/>
      <c r="G51" s="45"/>
      <c r="H51" s="29"/>
      <c r="I51" s="29"/>
      <c r="J51" s="45"/>
      <c r="K51" s="45"/>
      <c r="L51" s="29">
        <f t="shared" si="6"/>
        <v>563742.69999999995</v>
      </c>
      <c r="M51" s="29">
        <v>2894.44</v>
      </c>
      <c r="N51" s="29">
        <f t="shared" si="3"/>
        <v>560848.26</v>
      </c>
      <c r="O51" s="39">
        <f t="shared" si="7"/>
        <v>1.2789340242827966E-2</v>
      </c>
    </row>
    <row r="52" spans="1:15" ht="15.95" customHeight="1" x14ac:dyDescent="0.2">
      <c r="A52" s="42" t="s">
        <v>99</v>
      </c>
      <c r="B52" s="30" t="s">
        <v>163</v>
      </c>
      <c r="C52" s="29">
        <v>500985.37</v>
      </c>
      <c r="D52" s="29"/>
      <c r="E52" s="29"/>
      <c r="F52" s="45"/>
      <c r="G52" s="45"/>
      <c r="H52" s="29"/>
      <c r="I52" s="29"/>
      <c r="J52" s="45"/>
      <c r="K52" s="45"/>
      <c r="L52" s="29">
        <f t="shared" si="6"/>
        <v>500985.37</v>
      </c>
      <c r="M52" s="29"/>
      <c r="N52" s="29">
        <f t="shared" si="3"/>
        <v>500985.37</v>
      </c>
      <c r="O52" s="39">
        <f t="shared" si="7"/>
        <v>0</v>
      </c>
    </row>
    <row r="53" spans="1:15" ht="15.95" customHeight="1" x14ac:dyDescent="0.2">
      <c r="A53" s="42" t="s">
        <v>100</v>
      </c>
      <c r="B53" s="30" t="s">
        <v>54</v>
      </c>
      <c r="C53" s="29">
        <v>225000</v>
      </c>
      <c r="D53" s="29"/>
      <c r="E53" s="29"/>
      <c r="F53" s="45"/>
      <c r="G53" s="45"/>
      <c r="H53" s="29"/>
      <c r="I53" s="29"/>
      <c r="J53" s="45"/>
      <c r="K53" s="45"/>
      <c r="L53" s="29">
        <f>C53+D53-E53+F53-G53+H53+J53-I53-K53</f>
        <v>225000</v>
      </c>
      <c r="M53" s="29"/>
      <c r="N53" s="29">
        <f t="shared" si="3"/>
        <v>225000</v>
      </c>
      <c r="O53" s="39">
        <f t="shared" si="7"/>
        <v>0</v>
      </c>
    </row>
    <row r="54" spans="1:15" ht="15.95" customHeight="1" x14ac:dyDescent="0.2">
      <c r="A54" s="42" t="s">
        <v>101</v>
      </c>
      <c r="B54" s="30" t="s">
        <v>55</v>
      </c>
      <c r="C54" s="29">
        <v>75000</v>
      </c>
      <c r="D54" s="29"/>
      <c r="E54" s="29"/>
      <c r="F54" s="45"/>
      <c r="G54" s="45"/>
      <c r="H54" s="29"/>
      <c r="I54" s="29"/>
      <c r="J54" s="45"/>
      <c r="K54" s="45"/>
      <c r="L54" s="29">
        <f>C54+D54-E54+F54-G54+H54+J54-I54-K54</f>
        <v>75000</v>
      </c>
      <c r="M54" s="29"/>
      <c r="N54" s="29">
        <f t="shared" si="3"/>
        <v>75000</v>
      </c>
      <c r="O54" s="39">
        <f t="shared" si="7"/>
        <v>0</v>
      </c>
    </row>
    <row r="55" spans="1:15" ht="15.95" customHeight="1" x14ac:dyDescent="0.2">
      <c r="A55" s="42">
        <v>151</v>
      </c>
      <c r="B55" s="30" t="s">
        <v>249</v>
      </c>
      <c r="C55" s="29">
        <v>90000</v>
      </c>
      <c r="D55" s="29"/>
      <c r="E55" s="29"/>
      <c r="F55" s="45"/>
      <c r="G55" s="45"/>
      <c r="H55" s="29"/>
      <c r="I55" s="29"/>
      <c r="J55" s="45"/>
      <c r="K55" s="45"/>
      <c r="L55" s="29">
        <f t="shared" si="6"/>
        <v>90000</v>
      </c>
      <c r="M55" s="29"/>
      <c r="N55" s="29">
        <f t="shared" si="3"/>
        <v>90000</v>
      </c>
      <c r="O55" s="39"/>
    </row>
    <row r="56" spans="1:15" ht="15.95" customHeight="1" x14ac:dyDescent="0.2">
      <c r="A56" s="42" t="s">
        <v>102</v>
      </c>
      <c r="B56" s="30" t="s">
        <v>56</v>
      </c>
      <c r="C56" s="29">
        <v>4400</v>
      </c>
      <c r="D56" s="29"/>
      <c r="E56" s="29"/>
      <c r="F56" s="45"/>
      <c r="G56" s="45"/>
      <c r="H56" s="29"/>
      <c r="I56" s="29"/>
      <c r="J56" s="45"/>
      <c r="K56" s="45"/>
      <c r="L56" s="29">
        <f t="shared" si="6"/>
        <v>4400</v>
      </c>
      <c r="M56" s="29"/>
      <c r="N56" s="29">
        <f t="shared" si="3"/>
        <v>4400</v>
      </c>
      <c r="O56" s="39">
        <f t="shared" ref="O56:O61" si="8">M56/$M$138</f>
        <v>0</v>
      </c>
    </row>
    <row r="57" spans="1:15" ht="15.95" customHeight="1" x14ac:dyDescent="0.2">
      <c r="A57" s="42" t="s">
        <v>103</v>
      </c>
      <c r="B57" s="30" t="s">
        <v>164</v>
      </c>
      <c r="C57" s="29">
        <v>3004.32</v>
      </c>
      <c r="D57" s="29"/>
      <c r="E57" s="29"/>
      <c r="F57" s="45"/>
      <c r="G57" s="45"/>
      <c r="H57" s="29"/>
      <c r="I57" s="29"/>
      <c r="J57" s="45"/>
      <c r="K57" s="45"/>
      <c r="L57" s="29">
        <f t="shared" si="6"/>
        <v>3004.32</v>
      </c>
      <c r="M57" s="29"/>
      <c r="N57" s="29">
        <f t="shared" si="3"/>
        <v>3004.32</v>
      </c>
      <c r="O57" s="39">
        <f t="shared" si="8"/>
        <v>0</v>
      </c>
    </row>
    <row r="58" spans="1:15" ht="15.95" customHeight="1" x14ac:dyDescent="0.2">
      <c r="A58" s="42" t="s">
        <v>104</v>
      </c>
      <c r="B58" s="30" t="s">
        <v>165</v>
      </c>
      <c r="C58" s="29">
        <v>7750</v>
      </c>
      <c r="D58" s="29"/>
      <c r="E58" s="29"/>
      <c r="F58" s="45"/>
      <c r="G58" s="45"/>
      <c r="H58" s="29"/>
      <c r="I58" s="29"/>
      <c r="J58" s="45"/>
      <c r="K58" s="45"/>
      <c r="L58" s="29">
        <f t="shared" si="6"/>
        <v>7750</v>
      </c>
      <c r="M58" s="29"/>
      <c r="N58" s="29">
        <f t="shared" si="3"/>
        <v>7750</v>
      </c>
      <c r="O58" s="39">
        <f t="shared" si="8"/>
        <v>0</v>
      </c>
    </row>
    <row r="59" spans="1:15" ht="15.95" customHeight="1" x14ac:dyDescent="0.2">
      <c r="A59" s="42" t="s">
        <v>105</v>
      </c>
      <c r="B59" s="30" t="s">
        <v>166</v>
      </c>
      <c r="C59" s="29">
        <v>7000</v>
      </c>
      <c r="D59" s="29"/>
      <c r="E59" s="29"/>
      <c r="F59" s="45"/>
      <c r="G59" s="45"/>
      <c r="H59" s="29"/>
      <c r="I59" s="29"/>
      <c r="J59" s="45"/>
      <c r="K59" s="45"/>
      <c r="L59" s="29">
        <f t="shared" si="6"/>
        <v>7000</v>
      </c>
      <c r="M59" s="29"/>
      <c r="N59" s="29">
        <f t="shared" si="3"/>
        <v>7000</v>
      </c>
      <c r="O59" s="39">
        <f t="shared" si="8"/>
        <v>0</v>
      </c>
    </row>
    <row r="60" spans="1:15" ht="15.95" customHeight="1" x14ac:dyDescent="0.2">
      <c r="A60" s="42" t="s">
        <v>106</v>
      </c>
      <c r="B60" s="30" t="s">
        <v>167</v>
      </c>
      <c r="C60" s="29">
        <v>14000</v>
      </c>
      <c r="D60" s="29"/>
      <c r="E60" s="29"/>
      <c r="F60" s="45"/>
      <c r="G60" s="45"/>
      <c r="H60" s="29"/>
      <c r="I60" s="29"/>
      <c r="J60" s="45"/>
      <c r="K60" s="45"/>
      <c r="L60" s="29">
        <f t="shared" si="6"/>
        <v>14000</v>
      </c>
      <c r="M60" s="29"/>
      <c r="N60" s="29">
        <f t="shared" si="3"/>
        <v>14000</v>
      </c>
      <c r="O60" s="39">
        <f t="shared" si="8"/>
        <v>0</v>
      </c>
    </row>
    <row r="61" spans="1:15" ht="15.95" hidden="1" customHeight="1" x14ac:dyDescent="0.2">
      <c r="A61" s="42" t="s">
        <v>107</v>
      </c>
      <c r="B61" s="30" t="s">
        <v>168</v>
      </c>
      <c r="C61" s="29">
        <v>0</v>
      </c>
      <c r="D61" s="29"/>
      <c r="E61" s="29"/>
      <c r="F61" s="45"/>
      <c r="G61" s="45"/>
      <c r="H61" s="29"/>
      <c r="I61" s="29"/>
      <c r="J61" s="45"/>
      <c r="K61" s="45"/>
      <c r="L61" s="29">
        <f t="shared" si="6"/>
        <v>0</v>
      </c>
      <c r="M61" s="29"/>
      <c r="N61" s="29">
        <f t="shared" si="3"/>
        <v>0</v>
      </c>
      <c r="O61" s="39">
        <f t="shared" si="8"/>
        <v>0</v>
      </c>
    </row>
    <row r="62" spans="1:15" ht="15.95" customHeight="1" x14ac:dyDescent="0.2">
      <c r="A62" s="42">
        <v>169</v>
      </c>
      <c r="B62" s="30" t="s">
        <v>239</v>
      </c>
      <c r="C62" s="29">
        <v>15000</v>
      </c>
      <c r="D62" s="29"/>
      <c r="E62" s="29"/>
      <c r="F62" s="45"/>
      <c r="G62" s="45"/>
      <c r="H62" s="29"/>
      <c r="I62" s="29"/>
      <c r="J62" s="45"/>
      <c r="K62" s="45"/>
      <c r="L62" s="29">
        <f t="shared" si="6"/>
        <v>15000</v>
      </c>
      <c r="M62" s="29"/>
      <c r="N62" s="29">
        <f t="shared" si="3"/>
        <v>15000</v>
      </c>
      <c r="O62" s="39"/>
    </row>
    <row r="63" spans="1:15" ht="15.95" customHeight="1" x14ac:dyDescent="0.2">
      <c r="A63" s="42">
        <v>171</v>
      </c>
      <c r="B63" s="30" t="s">
        <v>168</v>
      </c>
      <c r="C63" s="29">
        <v>115000</v>
      </c>
      <c r="D63" s="29"/>
      <c r="E63" s="29"/>
      <c r="F63" s="45"/>
      <c r="G63" s="45"/>
      <c r="H63" s="29"/>
      <c r="I63" s="29"/>
      <c r="J63" s="45"/>
      <c r="K63" s="45"/>
      <c r="L63" s="29">
        <f>C63+D63-E63+F63-G63+H63+J63-I63-K63</f>
        <v>115000</v>
      </c>
      <c r="M63" s="29"/>
      <c r="N63" s="29">
        <f t="shared" si="3"/>
        <v>115000</v>
      </c>
      <c r="O63" s="39"/>
    </row>
    <row r="64" spans="1:15" ht="15.95" customHeight="1" x14ac:dyDescent="0.2">
      <c r="A64" s="42" t="s">
        <v>108</v>
      </c>
      <c r="B64" s="30" t="s">
        <v>169</v>
      </c>
      <c r="C64" s="29">
        <v>30750</v>
      </c>
      <c r="D64" s="29"/>
      <c r="E64" s="29"/>
      <c r="F64" s="45"/>
      <c r="G64" s="45"/>
      <c r="H64" s="29"/>
      <c r="I64" s="29"/>
      <c r="J64" s="45"/>
      <c r="K64" s="45"/>
      <c r="L64" s="29">
        <f t="shared" si="6"/>
        <v>30750</v>
      </c>
      <c r="M64" s="29"/>
      <c r="N64" s="29">
        <f t="shared" si="3"/>
        <v>30750</v>
      </c>
      <c r="O64" s="39">
        <f t="shared" ref="O64:O79" si="9">M64/$M$138</f>
        <v>0</v>
      </c>
    </row>
    <row r="65" spans="1:15" ht="15.95" customHeight="1" x14ac:dyDescent="0.2">
      <c r="A65" s="42" t="s">
        <v>109</v>
      </c>
      <c r="B65" s="30" t="s">
        <v>170</v>
      </c>
      <c r="C65" s="29">
        <v>260706.83</v>
      </c>
      <c r="D65" s="29"/>
      <c r="E65" s="29"/>
      <c r="F65" s="45"/>
      <c r="G65" s="45"/>
      <c r="H65" s="29"/>
      <c r="I65" s="29"/>
      <c r="J65" s="45"/>
      <c r="K65" s="45"/>
      <c r="L65" s="29">
        <f t="shared" si="6"/>
        <v>260706.83</v>
      </c>
      <c r="M65" s="29"/>
      <c r="N65" s="29">
        <f t="shared" si="3"/>
        <v>260706.83</v>
      </c>
      <c r="O65" s="39">
        <f t="shared" si="9"/>
        <v>0</v>
      </c>
    </row>
    <row r="66" spans="1:15" ht="15.95" customHeight="1" x14ac:dyDescent="0.2">
      <c r="A66" s="42">
        <v>182</v>
      </c>
      <c r="B66" s="30" t="s">
        <v>237</v>
      </c>
      <c r="C66" s="29">
        <v>10000</v>
      </c>
      <c r="D66" s="29"/>
      <c r="E66" s="29"/>
      <c r="F66" s="45"/>
      <c r="G66" s="45"/>
      <c r="H66" s="29"/>
      <c r="I66" s="29"/>
      <c r="J66" s="45"/>
      <c r="K66" s="45"/>
      <c r="L66" s="29">
        <f t="shared" si="6"/>
        <v>10000</v>
      </c>
      <c r="M66" s="29"/>
      <c r="N66" s="29">
        <f t="shared" si="3"/>
        <v>10000</v>
      </c>
      <c r="O66" s="39">
        <f t="shared" si="9"/>
        <v>0</v>
      </c>
    </row>
    <row r="67" spans="1:15" ht="15.95" customHeight="1" x14ac:dyDescent="0.2">
      <c r="A67" s="42" t="s">
        <v>110</v>
      </c>
      <c r="B67" s="30" t="s">
        <v>171</v>
      </c>
      <c r="C67" s="29">
        <v>54000</v>
      </c>
      <c r="D67" s="29"/>
      <c r="E67" s="29"/>
      <c r="F67" s="45"/>
      <c r="G67" s="45"/>
      <c r="H67" s="29"/>
      <c r="I67" s="29"/>
      <c r="J67" s="45"/>
      <c r="K67" s="45"/>
      <c r="L67" s="29">
        <f t="shared" si="6"/>
        <v>54000</v>
      </c>
      <c r="M67" s="29">
        <f>4500+4500</f>
        <v>9000</v>
      </c>
      <c r="N67" s="29">
        <f t="shared" si="3"/>
        <v>45000</v>
      </c>
      <c r="O67" s="39">
        <f t="shared" si="9"/>
        <v>3.9767299438043864E-2</v>
      </c>
    </row>
    <row r="68" spans="1:15" ht="15.95" customHeight="1" x14ac:dyDescent="0.2">
      <c r="A68" s="42" t="s">
        <v>111</v>
      </c>
      <c r="B68" s="30" t="s">
        <v>172</v>
      </c>
      <c r="C68" s="29">
        <v>54000</v>
      </c>
      <c r="D68" s="29"/>
      <c r="E68" s="29"/>
      <c r="F68" s="45"/>
      <c r="G68" s="45"/>
      <c r="H68" s="29"/>
      <c r="I68" s="29"/>
      <c r="J68" s="45"/>
      <c r="K68" s="45"/>
      <c r="L68" s="29">
        <f t="shared" si="6"/>
        <v>54000</v>
      </c>
      <c r="M68" s="29">
        <f>4500+4500</f>
        <v>9000</v>
      </c>
      <c r="N68" s="29">
        <f t="shared" si="3"/>
        <v>45000</v>
      </c>
      <c r="O68" s="39">
        <f t="shared" si="9"/>
        <v>3.9767299438043864E-2</v>
      </c>
    </row>
    <row r="69" spans="1:15" ht="15.95" customHeight="1" x14ac:dyDescent="0.2">
      <c r="A69" s="42" t="s">
        <v>112</v>
      </c>
      <c r="B69" s="30" t="s">
        <v>57</v>
      </c>
      <c r="C69" s="29">
        <v>7500</v>
      </c>
      <c r="D69" s="29"/>
      <c r="E69" s="29"/>
      <c r="F69" s="45"/>
      <c r="G69" s="45"/>
      <c r="H69" s="29"/>
      <c r="I69" s="29"/>
      <c r="J69" s="45"/>
      <c r="K69" s="45"/>
      <c r="L69" s="29">
        <f t="shared" si="6"/>
        <v>7500</v>
      </c>
      <c r="M69" s="29"/>
      <c r="N69" s="29">
        <f t="shared" si="3"/>
        <v>7500</v>
      </c>
      <c r="O69" s="39">
        <f t="shared" si="9"/>
        <v>0</v>
      </c>
    </row>
    <row r="70" spans="1:15" ht="15.95" customHeight="1" x14ac:dyDescent="0.2">
      <c r="A70" s="42" t="s">
        <v>113</v>
      </c>
      <c r="B70" s="30" t="s">
        <v>173</v>
      </c>
      <c r="C70" s="29">
        <v>24540</v>
      </c>
      <c r="D70" s="29"/>
      <c r="E70" s="29"/>
      <c r="F70" s="45"/>
      <c r="G70" s="45"/>
      <c r="H70" s="29"/>
      <c r="I70" s="29"/>
      <c r="J70" s="45"/>
      <c r="K70" s="45"/>
      <c r="L70" s="29">
        <f t="shared" si="6"/>
        <v>24540</v>
      </c>
      <c r="M70" s="29"/>
      <c r="N70" s="29">
        <f t="shared" si="3"/>
        <v>24540</v>
      </c>
      <c r="O70" s="39">
        <f t="shared" si="9"/>
        <v>0</v>
      </c>
    </row>
    <row r="71" spans="1:15" ht="15.95" customHeight="1" x14ac:dyDescent="0.2">
      <c r="A71" s="42" t="s">
        <v>114</v>
      </c>
      <c r="B71" s="30" t="s">
        <v>174</v>
      </c>
      <c r="C71" s="29">
        <v>863300</v>
      </c>
      <c r="D71" s="29"/>
      <c r="E71" s="29"/>
      <c r="F71" s="45"/>
      <c r="G71" s="45"/>
      <c r="H71" s="29"/>
      <c r="I71" s="29"/>
      <c r="J71" s="45"/>
      <c r="K71" s="45"/>
      <c r="L71" s="29">
        <f t="shared" si="6"/>
        <v>863300</v>
      </c>
      <c r="M71" s="29">
        <v>1500</v>
      </c>
      <c r="N71" s="29">
        <f t="shared" si="3"/>
        <v>861800</v>
      </c>
      <c r="O71" s="39">
        <f t="shared" si="9"/>
        <v>6.6278832396739779E-3</v>
      </c>
    </row>
    <row r="72" spans="1:15" ht="15.95" customHeight="1" x14ac:dyDescent="0.2">
      <c r="A72" s="42" t="s">
        <v>115</v>
      </c>
      <c r="B72" s="30" t="s">
        <v>175</v>
      </c>
      <c r="C72" s="29">
        <v>8000</v>
      </c>
      <c r="D72" s="29"/>
      <c r="E72" s="29"/>
      <c r="F72" s="45"/>
      <c r="G72" s="45"/>
      <c r="H72" s="29"/>
      <c r="I72" s="29"/>
      <c r="J72" s="45"/>
      <c r="K72" s="45"/>
      <c r="L72" s="29">
        <f t="shared" si="6"/>
        <v>8000</v>
      </c>
      <c r="M72" s="29"/>
      <c r="N72" s="29">
        <f t="shared" si="3"/>
        <v>8000</v>
      </c>
      <c r="O72" s="39">
        <f t="shared" si="9"/>
        <v>0</v>
      </c>
    </row>
    <row r="73" spans="1:15" ht="15.95" customHeight="1" x14ac:dyDescent="0.2">
      <c r="A73" s="42" t="s">
        <v>116</v>
      </c>
      <c r="B73" s="30" t="s">
        <v>58</v>
      </c>
      <c r="C73" s="29">
        <v>176000</v>
      </c>
      <c r="D73" s="29"/>
      <c r="E73" s="29"/>
      <c r="F73" s="45"/>
      <c r="G73" s="45"/>
      <c r="H73" s="29"/>
      <c r="I73" s="29"/>
      <c r="J73" s="45"/>
      <c r="K73" s="45"/>
      <c r="L73" s="29">
        <f>C73+D73-E73+F73-G73+H73+J73-I73-K73</f>
        <v>176000</v>
      </c>
      <c r="M73" s="29"/>
      <c r="N73" s="29">
        <f t="shared" si="3"/>
        <v>176000</v>
      </c>
      <c r="O73" s="39">
        <f t="shared" si="9"/>
        <v>0</v>
      </c>
    </row>
    <row r="74" spans="1:15" ht="15.95" customHeight="1" x14ac:dyDescent="0.2">
      <c r="A74" s="42" t="s">
        <v>117</v>
      </c>
      <c r="B74" s="30" t="s">
        <v>176</v>
      </c>
      <c r="C74" s="29">
        <v>8250</v>
      </c>
      <c r="D74" s="29"/>
      <c r="E74" s="29"/>
      <c r="F74" s="45"/>
      <c r="G74" s="45"/>
      <c r="H74" s="29"/>
      <c r="I74" s="29"/>
      <c r="J74" s="45"/>
      <c r="K74" s="45"/>
      <c r="L74" s="29">
        <f t="shared" si="6"/>
        <v>8250</v>
      </c>
      <c r="M74" s="29"/>
      <c r="N74" s="29">
        <f t="shared" si="3"/>
        <v>8250</v>
      </c>
      <c r="O74" s="39">
        <f t="shared" si="9"/>
        <v>0</v>
      </c>
    </row>
    <row r="75" spans="1:15" ht="15.95" customHeight="1" x14ac:dyDescent="0.2">
      <c r="A75" s="42" t="s">
        <v>118</v>
      </c>
      <c r="B75" s="30" t="s">
        <v>177</v>
      </c>
      <c r="C75" s="29">
        <v>2500</v>
      </c>
      <c r="D75" s="29"/>
      <c r="E75" s="29"/>
      <c r="F75" s="45"/>
      <c r="G75" s="45"/>
      <c r="H75" s="29"/>
      <c r="I75" s="29"/>
      <c r="J75" s="45"/>
      <c r="K75" s="45"/>
      <c r="L75" s="29">
        <f t="shared" si="6"/>
        <v>2500</v>
      </c>
      <c r="M75" s="29">
        <f>50.36+50.33</f>
        <v>100.69</v>
      </c>
      <c r="N75" s="29">
        <f t="shared" si="3"/>
        <v>2399.31</v>
      </c>
      <c r="O75" s="39">
        <f t="shared" si="9"/>
        <v>4.4490770893518185E-4</v>
      </c>
    </row>
    <row r="76" spans="1:15" ht="15.95" customHeight="1" x14ac:dyDescent="0.2">
      <c r="A76" s="42" t="s">
        <v>119</v>
      </c>
      <c r="B76" s="30" t="s">
        <v>59</v>
      </c>
      <c r="C76" s="29">
        <v>125000</v>
      </c>
      <c r="D76" s="29"/>
      <c r="E76" s="29"/>
      <c r="F76" s="45"/>
      <c r="G76" s="45"/>
      <c r="H76" s="29"/>
      <c r="I76" s="29"/>
      <c r="J76" s="45"/>
      <c r="K76" s="45"/>
      <c r="L76" s="29">
        <f t="shared" si="6"/>
        <v>125000</v>
      </c>
      <c r="M76" s="29">
        <v>35.1</v>
      </c>
      <c r="N76" s="29">
        <f t="shared" si="3"/>
        <v>124964.9</v>
      </c>
      <c r="O76" s="39">
        <f t="shared" si="9"/>
        <v>1.550924678083711E-4</v>
      </c>
    </row>
    <row r="77" spans="1:15" ht="15.95" customHeight="1" x14ac:dyDescent="0.2">
      <c r="A77" s="42" t="s">
        <v>120</v>
      </c>
      <c r="B77" s="30" t="s">
        <v>178</v>
      </c>
      <c r="C77" s="29">
        <v>50000</v>
      </c>
      <c r="D77" s="29"/>
      <c r="E77" s="29"/>
      <c r="F77" s="45"/>
      <c r="G77" s="45"/>
      <c r="H77" s="29"/>
      <c r="I77" s="29"/>
      <c r="J77" s="45"/>
      <c r="K77" s="45"/>
      <c r="L77" s="29">
        <f t="shared" ref="L77:L78" si="10">C77+D77-E77+F77-G77+H77+J77-I77-K77</f>
        <v>50000</v>
      </c>
      <c r="M77" s="29"/>
      <c r="N77" s="29">
        <f t="shared" si="3"/>
        <v>50000</v>
      </c>
      <c r="O77" s="39">
        <f t="shared" si="9"/>
        <v>0</v>
      </c>
    </row>
    <row r="78" spans="1:15" ht="15.95" customHeight="1" x14ac:dyDescent="0.2">
      <c r="A78" s="42" t="s">
        <v>179</v>
      </c>
      <c r="B78" s="30" t="s">
        <v>152</v>
      </c>
      <c r="C78" s="29">
        <v>46100</v>
      </c>
      <c r="D78" s="29"/>
      <c r="E78" s="29"/>
      <c r="F78" s="45"/>
      <c r="G78" s="45"/>
      <c r="H78" s="29"/>
      <c r="I78" s="29"/>
      <c r="J78" s="45"/>
      <c r="K78" s="45"/>
      <c r="L78" s="29">
        <f t="shared" si="10"/>
        <v>46100</v>
      </c>
      <c r="M78" s="29"/>
      <c r="N78" s="29">
        <f t="shared" si="3"/>
        <v>46100</v>
      </c>
      <c r="O78" s="39">
        <f t="shared" si="9"/>
        <v>0</v>
      </c>
    </row>
    <row r="79" spans="1:15" ht="15.95" customHeight="1" x14ac:dyDescent="0.2">
      <c r="A79" s="42" t="s">
        <v>121</v>
      </c>
      <c r="B79" s="30" t="s">
        <v>180</v>
      </c>
      <c r="C79" s="29">
        <v>51000</v>
      </c>
      <c r="D79" s="29"/>
      <c r="E79" s="29"/>
      <c r="F79" s="45"/>
      <c r="G79" s="45"/>
      <c r="H79" s="29"/>
      <c r="I79" s="29"/>
      <c r="J79" s="45"/>
      <c r="K79" s="45"/>
      <c r="L79" s="29">
        <f t="shared" si="6"/>
        <v>51000</v>
      </c>
      <c r="M79" s="29">
        <v>55</v>
      </c>
      <c r="N79" s="29">
        <f t="shared" si="3"/>
        <v>50945</v>
      </c>
      <c r="O79" s="39">
        <f t="shared" si="9"/>
        <v>2.4302238545471252E-4</v>
      </c>
    </row>
    <row r="80" spans="1:15" ht="15.95" customHeight="1" x14ac:dyDescent="0.2">
      <c r="A80" s="42"/>
      <c r="B80" s="30"/>
      <c r="C80" s="29"/>
      <c r="D80" s="29"/>
      <c r="E80" s="29"/>
      <c r="F80" s="45"/>
      <c r="G80" s="45"/>
      <c r="H80" s="29"/>
      <c r="I80" s="29"/>
      <c r="J80" s="45"/>
      <c r="K80" s="45"/>
      <c r="L80" s="29"/>
      <c r="M80" s="29"/>
      <c r="N80" s="29"/>
      <c r="O80" s="39"/>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5">
      <c r="A82" s="40">
        <v>2</v>
      </c>
      <c r="B82" s="41" t="s">
        <v>60</v>
      </c>
      <c r="C82" s="27"/>
      <c r="D82" s="29"/>
      <c r="E82" s="29"/>
      <c r="F82" s="45"/>
      <c r="G82" s="45"/>
      <c r="H82" s="29"/>
      <c r="I82" s="29"/>
      <c r="J82" s="45"/>
      <c r="K82" s="45"/>
      <c r="L82" s="29"/>
      <c r="M82" s="29"/>
      <c r="N82" s="29"/>
      <c r="O82" s="39"/>
    </row>
    <row r="83" spans="1:15" ht="15.95" customHeight="1" x14ac:dyDescent="0.2">
      <c r="A83" s="42" t="s">
        <v>122</v>
      </c>
      <c r="B83" s="30" t="s">
        <v>61</v>
      </c>
      <c r="C83" s="29">
        <v>146784.1</v>
      </c>
      <c r="D83" s="29"/>
      <c r="E83" s="29"/>
      <c r="F83" s="45"/>
      <c r="G83" s="45"/>
      <c r="H83" s="29"/>
      <c r="I83" s="29"/>
      <c r="J83" s="45"/>
      <c r="K83" s="45"/>
      <c r="L83" s="29">
        <f t="shared" ref="L83:L119" si="11">C83+D83-E83+F83-G83+H83+J83-K83</f>
        <v>146784.1</v>
      </c>
      <c r="M83" s="29">
        <f>1296.25+4358.7</f>
        <v>5654.95</v>
      </c>
      <c r="N83" s="29">
        <f t="shared" si="3"/>
        <v>141129.15</v>
      </c>
      <c r="O83" s="39">
        <f t="shared" ref="O83:O119" si="12">M83/$M$138</f>
        <v>2.4986898884129572E-2</v>
      </c>
    </row>
    <row r="84" spans="1:15" ht="15.95" hidden="1" customHeight="1" x14ac:dyDescent="0.2">
      <c r="A84" s="42">
        <v>214</v>
      </c>
      <c r="B84" s="30" t="s">
        <v>192</v>
      </c>
      <c r="C84" s="29">
        <v>0</v>
      </c>
      <c r="D84" s="29"/>
      <c r="E84" s="29"/>
      <c r="F84" s="45"/>
      <c r="G84" s="45"/>
      <c r="H84" s="29"/>
      <c r="I84" s="29"/>
      <c r="J84" s="45"/>
      <c r="K84" s="45"/>
      <c r="L84" s="29">
        <f t="shared" si="11"/>
        <v>0</v>
      </c>
      <c r="M84" s="29"/>
      <c r="N84" s="29">
        <f t="shared" si="3"/>
        <v>0</v>
      </c>
      <c r="O84" s="39">
        <f t="shared" si="12"/>
        <v>0</v>
      </c>
    </row>
    <row r="85" spans="1:15" ht="15.95" customHeight="1" x14ac:dyDescent="0.2">
      <c r="A85" s="42">
        <v>223</v>
      </c>
      <c r="B85" s="30" t="s">
        <v>193</v>
      </c>
      <c r="C85" s="29">
        <v>2000</v>
      </c>
      <c r="D85" s="29"/>
      <c r="E85" s="29"/>
      <c r="F85" s="45"/>
      <c r="G85" s="45"/>
      <c r="H85" s="29"/>
      <c r="I85" s="29"/>
      <c r="J85" s="45"/>
      <c r="K85" s="45"/>
      <c r="L85" s="29">
        <f t="shared" si="11"/>
        <v>2000</v>
      </c>
      <c r="M85" s="29"/>
      <c r="N85" s="29">
        <f t="shared" si="3"/>
        <v>2000</v>
      </c>
      <c r="O85" s="39">
        <f t="shared" si="12"/>
        <v>0</v>
      </c>
    </row>
    <row r="86" spans="1:15" ht="15.95" hidden="1" customHeight="1" x14ac:dyDescent="0.2">
      <c r="A86" s="42">
        <v>229</v>
      </c>
      <c r="B86" s="30" t="s">
        <v>194</v>
      </c>
      <c r="C86" s="29">
        <v>0</v>
      </c>
      <c r="D86" s="29"/>
      <c r="E86" s="29"/>
      <c r="F86" s="45"/>
      <c r="G86" s="45"/>
      <c r="H86" s="29"/>
      <c r="I86" s="29"/>
      <c r="J86" s="45"/>
      <c r="K86" s="45"/>
      <c r="L86" s="29">
        <f t="shared" si="11"/>
        <v>0</v>
      </c>
      <c r="M86" s="29"/>
      <c r="N86" s="29">
        <f t="shared" si="3"/>
        <v>0</v>
      </c>
      <c r="O86" s="39">
        <f t="shared" si="12"/>
        <v>0</v>
      </c>
    </row>
    <row r="87" spans="1:15" ht="15.95" customHeight="1" x14ac:dyDescent="0.2">
      <c r="A87" s="42" t="s">
        <v>123</v>
      </c>
      <c r="B87" s="30" t="s">
        <v>62</v>
      </c>
      <c r="C87" s="29">
        <v>5000</v>
      </c>
      <c r="D87" s="29"/>
      <c r="E87" s="29"/>
      <c r="F87" s="45"/>
      <c r="G87" s="45"/>
      <c r="H87" s="29"/>
      <c r="I87" s="29"/>
      <c r="J87" s="45"/>
      <c r="K87" s="45"/>
      <c r="L87" s="29">
        <f t="shared" si="11"/>
        <v>5000</v>
      </c>
      <c r="M87" s="29"/>
      <c r="N87" s="29">
        <f t="shared" si="3"/>
        <v>5000</v>
      </c>
      <c r="O87" s="39">
        <f t="shared" si="12"/>
        <v>0</v>
      </c>
    </row>
    <row r="88" spans="1:15" ht="15.95" customHeight="1" x14ac:dyDescent="0.2">
      <c r="A88" s="42" t="s">
        <v>124</v>
      </c>
      <c r="B88" s="30" t="s">
        <v>63</v>
      </c>
      <c r="C88" s="29">
        <v>33800</v>
      </c>
      <c r="D88" s="29"/>
      <c r="E88" s="29"/>
      <c r="F88" s="45"/>
      <c r="G88" s="45"/>
      <c r="H88" s="29"/>
      <c r="I88" s="29"/>
      <c r="J88" s="45"/>
      <c r="K88" s="45"/>
      <c r="L88" s="29">
        <f t="shared" si="11"/>
        <v>33800</v>
      </c>
      <c r="M88" s="29"/>
      <c r="N88" s="29">
        <f t="shared" si="3"/>
        <v>33800</v>
      </c>
      <c r="O88" s="39">
        <f t="shared" si="12"/>
        <v>0</v>
      </c>
    </row>
    <row r="89" spans="1:15" ht="15.95" customHeight="1" x14ac:dyDescent="0.2">
      <c r="A89" s="42" t="s">
        <v>125</v>
      </c>
      <c r="B89" s="30" t="s">
        <v>64</v>
      </c>
      <c r="C89" s="29">
        <v>5250</v>
      </c>
      <c r="D89" s="29"/>
      <c r="E89" s="29"/>
      <c r="F89" s="45"/>
      <c r="G89" s="45"/>
      <c r="H89" s="29"/>
      <c r="I89" s="29"/>
      <c r="J89" s="45"/>
      <c r="K89" s="45"/>
      <c r="L89" s="29">
        <f t="shared" ref="L89" si="13">C89+D89-E89+F89-G89+H89+J89-I89-K89</f>
        <v>5250</v>
      </c>
      <c r="M89" s="29">
        <v>485</v>
      </c>
      <c r="N89" s="29">
        <f t="shared" si="3"/>
        <v>4765</v>
      </c>
      <c r="O89" s="39">
        <f t="shared" si="12"/>
        <v>2.1430155808279195E-3</v>
      </c>
    </row>
    <row r="90" spans="1:15" ht="15.95" customHeight="1" x14ac:dyDescent="0.2">
      <c r="A90" s="42" t="s">
        <v>126</v>
      </c>
      <c r="B90" s="30" t="s">
        <v>65</v>
      </c>
      <c r="C90" s="29">
        <v>10500</v>
      </c>
      <c r="D90" s="29"/>
      <c r="E90" s="29"/>
      <c r="F90" s="45"/>
      <c r="G90" s="45"/>
      <c r="H90" s="29"/>
      <c r="I90" s="29"/>
      <c r="J90" s="45"/>
      <c r="K90" s="45"/>
      <c r="L90" s="29">
        <f t="shared" si="11"/>
        <v>10500</v>
      </c>
      <c r="M90" s="29">
        <f>906.45+36</f>
        <v>942.45</v>
      </c>
      <c r="N90" s="29">
        <f t="shared" si="3"/>
        <v>9557.5499999999993</v>
      </c>
      <c r="O90" s="39">
        <f t="shared" si="12"/>
        <v>4.1642990394871607E-3</v>
      </c>
    </row>
    <row r="91" spans="1:15" ht="15.95" customHeight="1" x14ac:dyDescent="0.2">
      <c r="A91" s="42" t="s">
        <v>127</v>
      </c>
      <c r="B91" s="30" t="s">
        <v>195</v>
      </c>
      <c r="C91" s="29">
        <v>3050</v>
      </c>
      <c r="D91" s="29"/>
      <c r="E91" s="29"/>
      <c r="F91" s="45"/>
      <c r="G91" s="45"/>
      <c r="H91" s="29"/>
      <c r="I91" s="29"/>
      <c r="J91" s="45"/>
      <c r="K91" s="45"/>
      <c r="L91" s="29">
        <f t="shared" ref="L91" si="14">C91+D91-E91+F91-G91+H91+J91-I91-K91</f>
        <v>3050</v>
      </c>
      <c r="M91" s="29">
        <f>660.7+141.3</f>
        <v>802</v>
      </c>
      <c r="N91" s="29">
        <f t="shared" si="3"/>
        <v>2248</v>
      </c>
      <c r="O91" s="39">
        <f t="shared" si="12"/>
        <v>3.5437082388123536E-3</v>
      </c>
    </row>
    <row r="92" spans="1:15" ht="15.95" customHeight="1" x14ac:dyDescent="0.2">
      <c r="A92" s="42" t="s">
        <v>128</v>
      </c>
      <c r="B92" s="30" t="s">
        <v>66</v>
      </c>
      <c r="C92" s="29">
        <v>875</v>
      </c>
      <c r="D92" s="29"/>
      <c r="E92" s="29"/>
      <c r="F92" s="45"/>
      <c r="G92" s="45"/>
      <c r="H92" s="29"/>
      <c r="I92" s="29"/>
      <c r="J92" s="45"/>
      <c r="K92" s="45"/>
      <c r="L92" s="29">
        <f t="shared" si="11"/>
        <v>875</v>
      </c>
      <c r="M92" s="29"/>
      <c r="N92" s="29">
        <f t="shared" si="3"/>
        <v>875</v>
      </c>
      <c r="O92" s="39">
        <f t="shared" si="12"/>
        <v>0</v>
      </c>
    </row>
    <row r="93" spans="1:15" ht="15.95" customHeight="1" x14ac:dyDescent="0.2">
      <c r="A93" s="42" t="s">
        <v>129</v>
      </c>
      <c r="B93" s="30" t="s">
        <v>196</v>
      </c>
      <c r="C93" s="29">
        <v>5500</v>
      </c>
      <c r="D93" s="29"/>
      <c r="E93" s="29"/>
      <c r="F93" s="45"/>
      <c r="G93" s="45"/>
      <c r="H93" s="29"/>
      <c r="I93" s="29"/>
      <c r="J93" s="45"/>
      <c r="K93" s="45"/>
      <c r="L93" s="29">
        <f t="shared" si="11"/>
        <v>5500</v>
      </c>
      <c r="M93" s="29"/>
      <c r="N93" s="29">
        <f t="shared" si="3"/>
        <v>5500</v>
      </c>
      <c r="O93" s="39">
        <f t="shared" si="12"/>
        <v>0</v>
      </c>
    </row>
    <row r="94" spans="1:15" ht="15.95" customHeight="1" x14ac:dyDescent="0.2">
      <c r="A94" s="42" t="s">
        <v>130</v>
      </c>
      <c r="B94" s="30" t="s">
        <v>67</v>
      </c>
      <c r="C94" s="29">
        <v>2700</v>
      </c>
      <c r="D94" s="29"/>
      <c r="E94" s="29"/>
      <c r="F94" s="45"/>
      <c r="G94" s="45"/>
      <c r="H94" s="29"/>
      <c r="I94" s="29"/>
      <c r="J94" s="45"/>
      <c r="K94" s="45"/>
      <c r="L94" s="29">
        <f t="shared" si="11"/>
        <v>2700</v>
      </c>
      <c r="M94" s="29"/>
      <c r="N94" s="29">
        <f t="shared" si="3"/>
        <v>2700</v>
      </c>
      <c r="O94" s="39">
        <f t="shared" si="12"/>
        <v>0</v>
      </c>
    </row>
    <row r="95" spans="1:15" ht="15.95" customHeight="1" x14ac:dyDescent="0.2">
      <c r="A95" s="42" t="s">
        <v>197</v>
      </c>
      <c r="B95" s="30" t="s">
        <v>198</v>
      </c>
      <c r="C95" s="29">
        <v>2800</v>
      </c>
      <c r="D95" s="29"/>
      <c r="E95" s="29"/>
      <c r="F95" s="45"/>
      <c r="G95" s="45"/>
      <c r="H95" s="29"/>
      <c r="I95" s="29"/>
      <c r="J95" s="45"/>
      <c r="K95" s="45"/>
      <c r="L95" s="29">
        <f t="shared" si="11"/>
        <v>2800</v>
      </c>
      <c r="M95" s="29"/>
      <c r="N95" s="29">
        <f t="shared" si="3"/>
        <v>2800</v>
      </c>
      <c r="O95" s="39">
        <f t="shared" si="12"/>
        <v>0</v>
      </c>
    </row>
    <row r="96" spans="1:15" ht="15.95" customHeight="1" x14ac:dyDescent="0.2">
      <c r="A96" s="42" t="s">
        <v>131</v>
      </c>
      <c r="B96" s="30" t="s">
        <v>68</v>
      </c>
      <c r="C96" s="29">
        <v>8500</v>
      </c>
      <c r="D96" s="29"/>
      <c r="E96" s="29"/>
      <c r="F96" s="45"/>
      <c r="G96" s="45"/>
      <c r="H96" s="29"/>
      <c r="I96" s="29"/>
      <c r="J96" s="45"/>
      <c r="K96" s="45"/>
      <c r="L96" s="29">
        <f t="shared" si="11"/>
        <v>8500</v>
      </c>
      <c r="M96" s="29">
        <f>270+340.02</f>
        <v>610.02</v>
      </c>
      <c r="N96" s="29">
        <f t="shared" si="3"/>
        <v>7889.98</v>
      </c>
      <c r="O96" s="39">
        <f t="shared" si="12"/>
        <v>2.6954275559106134E-3</v>
      </c>
    </row>
    <row r="97" spans="1:15" ht="15.95" customHeight="1" x14ac:dyDescent="0.2">
      <c r="A97" s="42" t="s">
        <v>132</v>
      </c>
      <c r="B97" s="30" t="s">
        <v>199</v>
      </c>
      <c r="C97" s="29">
        <v>6000</v>
      </c>
      <c r="D97" s="29"/>
      <c r="E97" s="29"/>
      <c r="F97" s="45"/>
      <c r="G97" s="45"/>
      <c r="H97" s="29"/>
      <c r="I97" s="29"/>
      <c r="J97" s="45"/>
      <c r="K97" s="45"/>
      <c r="L97" s="29">
        <f t="shared" si="11"/>
        <v>6000</v>
      </c>
      <c r="M97" s="29"/>
      <c r="N97" s="29">
        <f t="shared" si="3"/>
        <v>6000</v>
      </c>
      <c r="O97" s="39">
        <f t="shared" si="12"/>
        <v>0</v>
      </c>
    </row>
    <row r="98" spans="1:15" ht="15.95" customHeight="1" x14ac:dyDescent="0.2">
      <c r="A98" s="42" t="s">
        <v>133</v>
      </c>
      <c r="B98" s="30" t="s">
        <v>69</v>
      </c>
      <c r="C98" s="29">
        <v>17500</v>
      </c>
      <c r="D98" s="29"/>
      <c r="E98" s="29"/>
      <c r="F98" s="45"/>
      <c r="G98" s="45"/>
      <c r="H98" s="29"/>
      <c r="I98" s="29"/>
      <c r="J98" s="45"/>
      <c r="K98" s="45"/>
      <c r="L98" s="29">
        <f t="shared" si="11"/>
        <v>17500</v>
      </c>
      <c r="M98" s="29">
        <f>862.5+340</f>
        <v>1202.5</v>
      </c>
      <c r="N98" s="29">
        <f t="shared" si="3"/>
        <v>16297.5</v>
      </c>
      <c r="O98" s="39">
        <f t="shared" si="12"/>
        <v>5.3133530638053055E-3</v>
      </c>
    </row>
    <row r="99" spans="1:15" ht="15.95" customHeight="1" x14ac:dyDescent="0.2">
      <c r="A99" s="42" t="s">
        <v>134</v>
      </c>
      <c r="B99" s="30" t="s">
        <v>200</v>
      </c>
      <c r="C99" s="29">
        <v>3000</v>
      </c>
      <c r="D99" s="29"/>
      <c r="E99" s="29"/>
      <c r="F99" s="45"/>
      <c r="G99" s="45"/>
      <c r="H99" s="29"/>
      <c r="I99" s="29"/>
      <c r="J99" s="45"/>
      <c r="K99" s="45"/>
      <c r="L99" s="29">
        <f t="shared" si="11"/>
        <v>3000</v>
      </c>
      <c r="M99" s="29">
        <v>67.75</v>
      </c>
      <c r="N99" s="29">
        <f t="shared" si="3"/>
        <v>2932.25</v>
      </c>
      <c r="O99" s="39">
        <f t="shared" si="12"/>
        <v>2.9935939299194131E-4</v>
      </c>
    </row>
    <row r="100" spans="1:15" ht="15.95" customHeight="1" x14ac:dyDescent="0.2">
      <c r="A100" s="42" t="s">
        <v>135</v>
      </c>
      <c r="B100" s="30" t="s">
        <v>201</v>
      </c>
      <c r="C100" s="29">
        <v>1500</v>
      </c>
      <c r="D100" s="29"/>
      <c r="E100" s="29"/>
      <c r="F100" s="45"/>
      <c r="G100" s="45"/>
      <c r="H100" s="29"/>
      <c r="I100" s="29"/>
      <c r="J100" s="45"/>
      <c r="K100" s="45"/>
      <c r="L100" s="29">
        <f t="shared" si="11"/>
        <v>1500</v>
      </c>
      <c r="M100" s="29"/>
      <c r="N100" s="29">
        <f t="shared" ref="N100:N137" si="15">L100-M100</f>
        <v>1500</v>
      </c>
      <c r="O100" s="39">
        <f t="shared" si="12"/>
        <v>0</v>
      </c>
    </row>
    <row r="101" spans="1:15" ht="15.95" customHeight="1" x14ac:dyDescent="0.2">
      <c r="A101" s="42" t="s">
        <v>136</v>
      </c>
      <c r="B101" s="30" t="s">
        <v>70</v>
      </c>
      <c r="C101" s="29">
        <v>331653.08</v>
      </c>
      <c r="D101" s="29"/>
      <c r="E101" s="29"/>
      <c r="F101" s="45"/>
      <c r="G101" s="45"/>
      <c r="H101" s="29"/>
      <c r="I101" s="29"/>
      <c r="J101" s="45"/>
      <c r="K101" s="45"/>
      <c r="L101" s="29">
        <f t="shared" si="11"/>
        <v>331653.08</v>
      </c>
      <c r="M101" s="29"/>
      <c r="N101" s="29">
        <f t="shared" si="15"/>
        <v>331653.08</v>
      </c>
      <c r="O101" s="39">
        <f t="shared" si="12"/>
        <v>0</v>
      </c>
    </row>
    <row r="102" spans="1:15" ht="15.95" hidden="1" customHeight="1" x14ac:dyDescent="0.2">
      <c r="A102" s="42">
        <v>272</v>
      </c>
      <c r="B102" s="30" t="s">
        <v>202</v>
      </c>
      <c r="C102" s="29">
        <v>0</v>
      </c>
      <c r="D102" s="29"/>
      <c r="E102" s="29"/>
      <c r="F102" s="45"/>
      <c r="G102" s="45"/>
      <c r="H102" s="29"/>
      <c r="I102" s="29"/>
      <c r="J102" s="45"/>
      <c r="K102" s="45"/>
      <c r="L102" s="29">
        <f t="shared" si="11"/>
        <v>0</v>
      </c>
      <c r="M102" s="29"/>
      <c r="N102" s="29">
        <f t="shared" si="15"/>
        <v>0</v>
      </c>
      <c r="O102" s="39">
        <f t="shared" si="12"/>
        <v>0</v>
      </c>
    </row>
    <row r="103" spans="1:15" ht="15.95" hidden="1" customHeight="1" x14ac:dyDescent="0.2">
      <c r="A103" s="42" t="s">
        <v>137</v>
      </c>
      <c r="B103" s="30" t="s">
        <v>203</v>
      </c>
      <c r="C103" s="29">
        <v>0</v>
      </c>
      <c r="D103" s="29"/>
      <c r="E103" s="29"/>
      <c r="F103" s="45"/>
      <c r="G103" s="45"/>
      <c r="H103" s="29"/>
      <c r="I103" s="29"/>
      <c r="J103" s="45"/>
      <c r="K103" s="45"/>
      <c r="L103" s="29">
        <f t="shared" si="11"/>
        <v>0</v>
      </c>
      <c r="M103" s="29"/>
      <c r="N103" s="29">
        <f t="shared" si="15"/>
        <v>0</v>
      </c>
      <c r="O103" s="39">
        <f t="shared" si="12"/>
        <v>0</v>
      </c>
    </row>
    <row r="104" spans="1:15" ht="15.95" customHeight="1" x14ac:dyDescent="0.2">
      <c r="A104" s="42">
        <v>274</v>
      </c>
      <c r="B104" s="30" t="s">
        <v>71</v>
      </c>
      <c r="C104" s="29">
        <v>1500</v>
      </c>
      <c r="D104" s="29"/>
      <c r="E104" s="29"/>
      <c r="F104" s="45"/>
      <c r="G104" s="45"/>
      <c r="H104" s="29"/>
      <c r="I104" s="29"/>
      <c r="J104" s="45"/>
      <c r="K104" s="45"/>
      <c r="L104" s="29">
        <f t="shared" si="11"/>
        <v>1500</v>
      </c>
      <c r="M104" s="29"/>
      <c r="N104" s="29">
        <f t="shared" si="15"/>
        <v>1500</v>
      </c>
      <c r="O104" s="39">
        <f t="shared" si="12"/>
        <v>0</v>
      </c>
    </row>
    <row r="105" spans="1:15" ht="15.95" hidden="1" customHeight="1" x14ac:dyDescent="0.2">
      <c r="A105" s="42">
        <v>275</v>
      </c>
      <c r="B105" s="30" t="s">
        <v>204</v>
      </c>
      <c r="C105" s="29">
        <v>0</v>
      </c>
      <c r="D105" s="29"/>
      <c r="E105" s="29"/>
      <c r="F105" s="45"/>
      <c r="G105" s="45"/>
      <c r="H105" s="29"/>
      <c r="I105" s="29"/>
      <c r="J105" s="45"/>
      <c r="K105" s="45"/>
      <c r="L105" s="29">
        <f t="shared" si="11"/>
        <v>0</v>
      </c>
      <c r="M105" s="29"/>
      <c r="N105" s="29">
        <f t="shared" si="15"/>
        <v>0</v>
      </c>
      <c r="O105" s="39">
        <f t="shared" si="12"/>
        <v>0</v>
      </c>
    </row>
    <row r="106" spans="1:15" ht="15.95" customHeight="1" x14ac:dyDescent="0.2">
      <c r="A106" s="42">
        <v>279</v>
      </c>
      <c r="B106" s="30" t="s">
        <v>205</v>
      </c>
      <c r="C106" s="29">
        <v>750</v>
      </c>
      <c r="D106" s="29"/>
      <c r="E106" s="29"/>
      <c r="F106" s="45"/>
      <c r="G106" s="45"/>
      <c r="H106" s="29"/>
      <c r="I106" s="29"/>
      <c r="J106" s="45"/>
      <c r="K106" s="45"/>
      <c r="L106" s="29">
        <f t="shared" si="11"/>
        <v>750</v>
      </c>
      <c r="M106" s="29"/>
      <c r="N106" s="29">
        <f t="shared" si="15"/>
        <v>750</v>
      </c>
      <c r="O106" s="39">
        <f t="shared" si="12"/>
        <v>0</v>
      </c>
    </row>
    <row r="107" spans="1:15" ht="15.95" hidden="1" customHeight="1" x14ac:dyDescent="0.2">
      <c r="A107" s="42">
        <v>281</v>
      </c>
      <c r="B107" s="30" t="s">
        <v>206</v>
      </c>
      <c r="C107" s="29">
        <v>0</v>
      </c>
      <c r="D107" s="29"/>
      <c r="E107" s="29"/>
      <c r="F107" s="45"/>
      <c r="G107" s="45"/>
      <c r="H107" s="29"/>
      <c r="I107" s="29"/>
      <c r="J107" s="45"/>
      <c r="K107" s="45"/>
      <c r="L107" s="29">
        <f t="shared" si="11"/>
        <v>0</v>
      </c>
      <c r="M107" s="29"/>
      <c r="N107" s="29">
        <f t="shared" si="15"/>
        <v>0</v>
      </c>
      <c r="O107" s="39">
        <f t="shared" si="12"/>
        <v>0</v>
      </c>
    </row>
    <row r="108" spans="1:15" ht="15.95" customHeight="1" x14ac:dyDescent="0.2">
      <c r="A108" s="42" t="s">
        <v>138</v>
      </c>
      <c r="B108" s="30" t="s">
        <v>207</v>
      </c>
      <c r="C108" s="29">
        <v>4800</v>
      </c>
      <c r="D108" s="29"/>
      <c r="E108" s="29"/>
      <c r="F108" s="45"/>
      <c r="G108" s="45"/>
      <c r="H108" s="29"/>
      <c r="I108" s="29"/>
      <c r="J108" s="45"/>
      <c r="K108" s="45"/>
      <c r="L108" s="29">
        <f t="shared" si="11"/>
        <v>4800</v>
      </c>
      <c r="M108" s="29">
        <v>16.52</v>
      </c>
      <c r="N108" s="29">
        <f t="shared" si="15"/>
        <v>4783.4799999999996</v>
      </c>
      <c r="O108" s="39">
        <f t="shared" si="12"/>
        <v>7.2995087412942744E-5</v>
      </c>
    </row>
    <row r="109" spans="1:15" ht="15.95" customHeight="1" x14ac:dyDescent="0.2">
      <c r="A109" s="42" t="s">
        <v>139</v>
      </c>
      <c r="B109" s="30" t="s">
        <v>72</v>
      </c>
      <c r="C109" s="29">
        <v>28800</v>
      </c>
      <c r="D109" s="29"/>
      <c r="E109" s="29"/>
      <c r="F109" s="45"/>
      <c r="G109" s="45"/>
      <c r="H109" s="29"/>
      <c r="I109" s="29"/>
      <c r="J109" s="45"/>
      <c r="K109" s="45"/>
      <c r="L109" s="29">
        <f t="shared" si="11"/>
        <v>28800</v>
      </c>
      <c r="M109" s="29"/>
      <c r="N109" s="29">
        <f t="shared" si="15"/>
        <v>28800</v>
      </c>
      <c r="O109" s="39">
        <f t="shared" si="12"/>
        <v>0</v>
      </c>
    </row>
    <row r="110" spans="1:15" ht="15.95" customHeight="1" x14ac:dyDescent="0.2">
      <c r="A110" s="42" t="s">
        <v>140</v>
      </c>
      <c r="B110" s="30" t="s">
        <v>73</v>
      </c>
      <c r="C110" s="29">
        <v>1150000</v>
      </c>
      <c r="D110" s="29"/>
      <c r="E110" s="29"/>
      <c r="F110" s="45"/>
      <c r="G110" s="45"/>
      <c r="H110" s="29"/>
      <c r="I110" s="29"/>
      <c r="J110" s="45"/>
      <c r="K110" s="45"/>
      <c r="L110" s="29">
        <f>C110+D110-E110+F110-G110+H110+J110-I110-K110</f>
        <v>1150000</v>
      </c>
      <c r="M110" s="29"/>
      <c r="N110" s="29">
        <f t="shared" si="15"/>
        <v>1150000</v>
      </c>
      <c r="O110" s="39">
        <f t="shared" si="12"/>
        <v>0</v>
      </c>
    </row>
    <row r="111" spans="1:15" ht="15.95" customHeight="1" x14ac:dyDescent="0.2">
      <c r="A111" s="42">
        <v>286</v>
      </c>
      <c r="B111" s="30" t="s">
        <v>208</v>
      </c>
      <c r="C111" s="29">
        <v>1500</v>
      </c>
      <c r="D111" s="29"/>
      <c r="E111" s="29"/>
      <c r="F111" s="45"/>
      <c r="G111" s="45"/>
      <c r="H111" s="29"/>
      <c r="I111" s="29"/>
      <c r="J111" s="45"/>
      <c r="K111" s="45"/>
      <c r="L111" s="29">
        <f t="shared" si="11"/>
        <v>1500</v>
      </c>
      <c r="M111" s="29"/>
      <c r="N111" s="29">
        <f t="shared" si="15"/>
        <v>1500</v>
      </c>
      <c r="O111" s="39">
        <f t="shared" si="12"/>
        <v>0</v>
      </c>
    </row>
    <row r="112" spans="1:15" ht="15.95" hidden="1" customHeight="1" x14ac:dyDescent="0.2">
      <c r="A112" s="42">
        <v>289</v>
      </c>
      <c r="B112" s="30" t="s">
        <v>209</v>
      </c>
      <c r="C112" s="29">
        <v>0</v>
      </c>
      <c r="D112" s="29"/>
      <c r="E112" s="29"/>
      <c r="F112" s="45"/>
      <c r="G112" s="45"/>
      <c r="H112" s="29"/>
      <c r="I112" s="29"/>
      <c r="J112" s="45"/>
      <c r="K112" s="45"/>
      <c r="L112" s="29">
        <f t="shared" si="11"/>
        <v>0</v>
      </c>
      <c r="M112" s="29"/>
      <c r="N112" s="29">
        <f t="shared" si="15"/>
        <v>0</v>
      </c>
      <c r="O112" s="39">
        <f t="shared" si="12"/>
        <v>0</v>
      </c>
    </row>
    <row r="113" spans="1:15" ht="15.95" customHeight="1" x14ac:dyDescent="0.2">
      <c r="A113" s="42" t="s">
        <v>141</v>
      </c>
      <c r="B113" s="30" t="s">
        <v>74</v>
      </c>
      <c r="C113" s="29">
        <v>6600</v>
      </c>
      <c r="D113" s="29"/>
      <c r="E113" s="29"/>
      <c r="F113" s="45"/>
      <c r="G113" s="45"/>
      <c r="H113" s="29"/>
      <c r="I113" s="29"/>
      <c r="J113" s="45"/>
      <c r="K113" s="45"/>
      <c r="L113" s="29">
        <f t="shared" si="11"/>
        <v>6600</v>
      </c>
      <c r="M113" s="29">
        <f>72.75+278.7</f>
        <v>351.45</v>
      </c>
      <c r="N113" s="29">
        <f t="shared" si="15"/>
        <v>6248.55</v>
      </c>
      <c r="O113" s="39">
        <f t="shared" si="12"/>
        <v>1.5529130430556131E-3</v>
      </c>
    </row>
    <row r="114" spans="1:15" ht="15.95" customHeight="1" x14ac:dyDescent="0.2">
      <c r="A114" s="42" t="s">
        <v>142</v>
      </c>
      <c r="B114" s="30" t="s">
        <v>210</v>
      </c>
      <c r="C114" s="29">
        <v>4000</v>
      </c>
      <c r="D114" s="29"/>
      <c r="E114" s="29"/>
      <c r="F114" s="45"/>
      <c r="G114" s="45"/>
      <c r="H114" s="29"/>
      <c r="I114" s="29"/>
      <c r="J114" s="45"/>
      <c r="K114" s="45"/>
      <c r="L114" s="29">
        <f t="shared" si="11"/>
        <v>4000</v>
      </c>
      <c r="M114" s="29">
        <f>54.99+178.05</f>
        <v>233.04000000000002</v>
      </c>
      <c r="N114" s="29">
        <f t="shared" si="15"/>
        <v>3766.96</v>
      </c>
      <c r="O114" s="39">
        <f t="shared" si="12"/>
        <v>1.0297079401157493E-3</v>
      </c>
    </row>
    <row r="115" spans="1:15" ht="15.95" customHeight="1" x14ac:dyDescent="0.2">
      <c r="A115" s="42" t="s">
        <v>143</v>
      </c>
      <c r="B115" s="30" t="s">
        <v>75</v>
      </c>
      <c r="C115" s="29">
        <v>25251.9</v>
      </c>
      <c r="D115" s="29"/>
      <c r="E115" s="29"/>
      <c r="F115" s="45"/>
      <c r="G115" s="45"/>
      <c r="H115" s="29"/>
      <c r="I115" s="29"/>
      <c r="J115" s="45"/>
      <c r="K115" s="45"/>
      <c r="L115" s="29">
        <f t="shared" si="11"/>
        <v>25251.9</v>
      </c>
      <c r="M115" s="29"/>
      <c r="N115" s="29">
        <f t="shared" si="15"/>
        <v>25251.9</v>
      </c>
      <c r="O115" s="39">
        <f t="shared" si="12"/>
        <v>0</v>
      </c>
    </row>
    <row r="116" spans="1:15" ht="15.95" customHeight="1" x14ac:dyDescent="0.2">
      <c r="A116" s="42" t="s">
        <v>144</v>
      </c>
      <c r="B116" s="30" t="s">
        <v>76</v>
      </c>
      <c r="C116" s="29">
        <v>2000</v>
      </c>
      <c r="D116" s="29"/>
      <c r="E116" s="29"/>
      <c r="F116" s="45"/>
      <c r="G116" s="45"/>
      <c r="H116" s="29"/>
      <c r="I116" s="29"/>
      <c r="J116" s="45"/>
      <c r="K116" s="45"/>
      <c r="L116" s="29">
        <f t="shared" si="11"/>
        <v>2000</v>
      </c>
      <c r="M116" s="29"/>
      <c r="N116" s="29">
        <f t="shared" si="15"/>
        <v>2000</v>
      </c>
      <c r="O116" s="39">
        <f t="shared" si="12"/>
        <v>0</v>
      </c>
    </row>
    <row r="117" spans="1:15" ht="15.95" customHeight="1" x14ac:dyDescent="0.2">
      <c r="A117" s="42" t="s">
        <v>145</v>
      </c>
      <c r="B117" s="30" t="s">
        <v>211</v>
      </c>
      <c r="C117" s="29">
        <v>9500</v>
      </c>
      <c r="D117" s="29"/>
      <c r="E117" s="29"/>
      <c r="F117" s="45"/>
      <c r="G117" s="45"/>
      <c r="H117" s="29"/>
      <c r="I117" s="29"/>
      <c r="J117" s="45"/>
      <c r="K117" s="45"/>
      <c r="L117" s="29">
        <f t="shared" si="11"/>
        <v>9500</v>
      </c>
      <c r="M117" s="29"/>
      <c r="N117" s="29">
        <f t="shared" si="15"/>
        <v>9500</v>
      </c>
      <c r="O117" s="39">
        <f t="shared" si="12"/>
        <v>0</v>
      </c>
    </row>
    <row r="118" spans="1:15" ht="15.95" customHeight="1" x14ac:dyDescent="0.2">
      <c r="A118" s="42" t="s">
        <v>146</v>
      </c>
      <c r="B118" s="30" t="s">
        <v>77</v>
      </c>
      <c r="C118" s="29">
        <v>76000</v>
      </c>
      <c r="D118" s="29"/>
      <c r="E118" s="29"/>
      <c r="F118" s="45"/>
      <c r="G118" s="45"/>
      <c r="H118" s="29"/>
      <c r="I118" s="29"/>
      <c r="J118" s="45"/>
      <c r="K118" s="45"/>
      <c r="L118" s="29">
        <f t="shared" si="11"/>
        <v>76000</v>
      </c>
      <c r="M118" s="29"/>
      <c r="N118" s="29">
        <f t="shared" si="15"/>
        <v>76000</v>
      </c>
      <c r="O118" s="39">
        <f t="shared" si="12"/>
        <v>0</v>
      </c>
    </row>
    <row r="119" spans="1:15" ht="15.95" customHeight="1" x14ac:dyDescent="0.2">
      <c r="A119" s="42" t="s">
        <v>147</v>
      </c>
      <c r="B119" s="30" t="s">
        <v>78</v>
      </c>
      <c r="C119" s="29">
        <v>9500</v>
      </c>
      <c r="D119" s="29"/>
      <c r="E119" s="29"/>
      <c r="F119" s="45"/>
      <c r="G119" s="45"/>
      <c r="H119" s="29"/>
      <c r="I119" s="29"/>
      <c r="J119" s="45"/>
      <c r="K119" s="45"/>
      <c r="L119" s="29">
        <f t="shared" si="11"/>
        <v>9500</v>
      </c>
      <c r="M119" s="29"/>
      <c r="N119" s="29">
        <f t="shared" si="15"/>
        <v>9500</v>
      </c>
      <c r="O119" s="39">
        <f t="shared" si="12"/>
        <v>0</v>
      </c>
    </row>
    <row r="120" spans="1:15" ht="15.95" customHeight="1" x14ac:dyDescent="0.2">
      <c r="A120" s="42"/>
      <c r="B120" s="30"/>
      <c r="C120" s="29"/>
      <c r="D120" s="29"/>
      <c r="E120" s="29"/>
      <c r="F120" s="45"/>
      <c r="G120" s="45"/>
      <c r="H120" s="29"/>
      <c r="I120" s="29"/>
      <c r="J120" s="45"/>
      <c r="K120" s="45"/>
      <c r="L120" s="29"/>
      <c r="M120" s="29"/>
      <c r="N120" s="29"/>
      <c r="O120" s="39"/>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5">
      <c r="A123" s="40">
        <v>3</v>
      </c>
      <c r="B123" s="41" t="s">
        <v>79</v>
      </c>
      <c r="C123" s="27"/>
      <c r="D123" s="29"/>
      <c r="E123" s="29"/>
      <c r="F123" s="45"/>
      <c r="G123" s="45"/>
      <c r="H123" s="29"/>
      <c r="I123" s="29"/>
      <c r="J123" s="45"/>
      <c r="K123" s="45"/>
      <c r="L123" s="29"/>
      <c r="M123" s="29"/>
      <c r="N123" s="29"/>
      <c r="O123" s="39"/>
    </row>
    <row r="124" spans="1:15" ht="15.95" customHeight="1" x14ac:dyDescent="0.2">
      <c r="A124" s="43" t="s">
        <v>212</v>
      </c>
      <c r="B124" s="44" t="s">
        <v>213</v>
      </c>
      <c r="C124" s="45">
        <v>10000</v>
      </c>
      <c r="D124" s="29"/>
      <c r="E124" s="29"/>
      <c r="F124" s="45"/>
      <c r="G124" s="45"/>
      <c r="H124" s="29"/>
      <c r="I124" s="29"/>
      <c r="J124" s="45"/>
      <c r="K124" s="45"/>
      <c r="L124" s="29">
        <f t="shared" ref="L124:L129" si="16">C124+D124-E124+F124-G124+H124+J124-K124</f>
        <v>10000</v>
      </c>
      <c r="M124" s="29"/>
      <c r="N124" s="29">
        <f t="shared" si="15"/>
        <v>10000</v>
      </c>
      <c r="O124" s="39">
        <f>M124/$M$138</f>
        <v>0</v>
      </c>
    </row>
    <row r="125" spans="1:15" ht="15.95" hidden="1" customHeight="1" x14ac:dyDescent="0.2">
      <c r="A125" s="43" t="s">
        <v>80</v>
      </c>
      <c r="B125" s="44" t="s">
        <v>214</v>
      </c>
      <c r="C125" s="45">
        <v>0</v>
      </c>
      <c r="D125" s="29"/>
      <c r="E125" s="29"/>
      <c r="F125" s="45"/>
      <c r="G125" s="45"/>
      <c r="H125" s="29"/>
      <c r="I125" s="29"/>
      <c r="J125" s="45"/>
      <c r="K125" s="45"/>
      <c r="L125" s="29">
        <f t="shared" si="16"/>
        <v>0</v>
      </c>
      <c r="M125" s="29"/>
      <c r="N125" s="29">
        <f t="shared" si="15"/>
        <v>0</v>
      </c>
      <c r="O125" s="39">
        <f>M125/$M$138</f>
        <v>0</v>
      </c>
    </row>
    <row r="126" spans="1:15" ht="15.95" customHeight="1" x14ac:dyDescent="0.2">
      <c r="A126" s="43" t="s">
        <v>215</v>
      </c>
      <c r="B126" s="44" t="s">
        <v>216</v>
      </c>
      <c r="C126" s="45">
        <v>304035</v>
      </c>
      <c r="D126" s="29"/>
      <c r="E126" s="29"/>
      <c r="F126" s="45"/>
      <c r="G126" s="45"/>
      <c r="H126" s="29"/>
      <c r="I126" s="29"/>
      <c r="J126" s="45"/>
      <c r="K126" s="45"/>
      <c r="L126" s="29">
        <f t="shared" si="16"/>
        <v>304035</v>
      </c>
      <c r="M126" s="29"/>
      <c r="N126" s="29">
        <f t="shared" si="15"/>
        <v>304035</v>
      </c>
      <c r="O126" s="39">
        <f>M126/$M$138</f>
        <v>0</v>
      </c>
    </row>
    <row r="127" spans="1:15" ht="15.95" customHeight="1" x14ac:dyDescent="0.2">
      <c r="A127" s="43" t="s">
        <v>217</v>
      </c>
      <c r="B127" s="44" t="s">
        <v>218</v>
      </c>
      <c r="C127" s="45">
        <v>1500</v>
      </c>
      <c r="D127" s="29"/>
      <c r="E127" s="29"/>
      <c r="F127" s="45"/>
      <c r="G127" s="45"/>
      <c r="H127" s="29"/>
      <c r="I127" s="29"/>
      <c r="J127" s="45"/>
      <c r="K127" s="45"/>
      <c r="L127" s="29">
        <f t="shared" si="16"/>
        <v>1500</v>
      </c>
      <c r="M127" s="29"/>
      <c r="N127" s="29">
        <f t="shared" si="15"/>
        <v>1500</v>
      </c>
      <c r="O127" s="39">
        <f>M127/$M$138</f>
        <v>0</v>
      </c>
    </row>
    <row r="128" spans="1:15" ht="15.95" customHeight="1" x14ac:dyDescent="0.2">
      <c r="A128" s="43">
        <v>328</v>
      </c>
      <c r="B128" s="44" t="s">
        <v>236</v>
      </c>
      <c r="C128" s="45">
        <v>40000</v>
      </c>
      <c r="D128" s="29"/>
      <c r="E128" s="29"/>
      <c r="F128" s="45"/>
      <c r="G128" s="45"/>
      <c r="H128" s="29"/>
      <c r="I128" s="29"/>
      <c r="J128" s="45"/>
      <c r="K128" s="45"/>
      <c r="L128" s="29">
        <f t="shared" si="16"/>
        <v>40000</v>
      </c>
      <c r="M128" s="29"/>
      <c r="N128" s="29">
        <f t="shared" si="15"/>
        <v>40000</v>
      </c>
      <c r="O128" s="39">
        <f>+M128/M138</f>
        <v>0</v>
      </c>
    </row>
    <row r="129" spans="1:15" ht="15.95" customHeight="1" x14ac:dyDescent="0.2">
      <c r="A129" s="43" t="s">
        <v>219</v>
      </c>
      <c r="B129" s="44" t="s">
        <v>220</v>
      </c>
      <c r="C129" s="45">
        <v>14300</v>
      </c>
      <c r="D129" s="29"/>
      <c r="E129" s="29"/>
      <c r="F129" s="45"/>
      <c r="G129" s="45"/>
      <c r="H129" s="29"/>
      <c r="I129" s="29"/>
      <c r="J129" s="45"/>
      <c r="K129" s="45"/>
      <c r="L129" s="29">
        <f t="shared" si="16"/>
        <v>14300</v>
      </c>
      <c r="M129" s="29"/>
      <c r="N129" s="29">
        <f t="shared" si="15"/>
        <v>14300</v>
      </c>
      <c r="O129" s="39">
        <f>M129/$M$138</f>
        <v>0</v>
      </c>
    </row>
    <row r="130" spans="1:15" ht="15.95" hidden="1" customHeight="1" x14ac:dyDescent="0.2">
      <c r="A130" s="43" t="s">
        <v>221</v>
      </c>
      <c r="B130" s="44" t="s">
        <v>222</v>
      </c>
      <c r="C130" s="45">
        <v>0</v>
      </c>
      <c r="D130" s="29"/>
      <c r="E130" s="29"/>
      <c r="F130" s="45"/>
      <c r="G130" s="45"/>
      <c r="H130" s="29"/>
      <c r="I130" s="29"/>
      <c r="J130" s="45"/>
      <c r="K130" s="45"/>
      <c r="L130" s="29">
        <f t="shared" ref="L130" si="17">C130+D130-E130+F130-G130+J130-K130</f>
        <v>0</v>
      </c>
      <c r="M130" s="29"/>
      <c r="N130" s="29">
        <f t="shared" si="15"/>
        <v>0</v>
      </c>
      <c r="O130" s="39">
        <f>M130/$M$138</f>
        <v>0</v>
      </c>
    </row>
    <row r="131" spans="1:15" ht="15.95" customHeight="1" x14ac:dyDescent="0.2">
      <c r="A131" s="43"/>
      <c r="B131" s="44"/>
      <c r="C131" s="45"/>
      <c r="D131" s="29"/>
      <c r="E131" s="29"/>
      <c r="F131" s="45"/>
      <c r="G131" s="45"/>
      <c r="H131" s="29"/>
      <c r="I131" s="29"/>
      <c r="J131" s="45"/>
      <c r="K131" s="45"/>
      <c r="L131" s="29"/>
      <c r="M131" s="29"/>
      <c r="N131" s="29"/>
      <c r="O131" s="39"/>
    </row>
    <row r="132" spans="1:15" ht="15.95" customHeight="1" x14ac:dyDescent="0.2">
      <c r="A132" s="42"/>
      <c r="B132" s="30"/>
      <c r="C132" s="29"/>
      <c r="D132" s="29"/>
      <c r="E132" s="29"/>
      <c r="F132" s="45"/>
      <c r="G132" s="45"/>
      <c r="H132" s="29"/>
      <c r="I132" s="29"/>
      <c r="J132" s="45"/>
      <c r="K132" s="45"/>
      <c r="L132" s="29"/>
      <c r="M132" s="29"/>
      <c r="N132" s="29"/>
      <c r="O132" s="39"/>
    </row>
    <row r="133" spans="1:15" ht="15.95" customHeight="1" x14ac:dyDescent="0.25">
      <c r="A133" s="40">
        <v>4</v>
      </c>
      <c r="B133" s="41" t="s">
        <v>81</v>
      </c>
      <c r="C133" s="27"/>
      <c r="D133" s="29"/>
      <c r="E133" s="29"/>
      <c r="F133" s="45"/>
      <c r="G133" s="45"/>
      <c r="H133" s="29"/>
      <c r="I133" s="29"/>
      <c r="J133" s="45"/>
      <c r="K133" s="45"/>
      <c r="L133" s="29"/>
      <c r="M133" s="29"/>
      <c r="N133" s="29"/>
      <c r="O133" s="39"/>
    </row>
    <row r="134" spans="1:15" ht="15.95" customHeight="1" x14ac:dyDescent="0.2">
      <c r="A134" s="42" t="s">
        <v>223</v>
      </c>
      <c r="B134" s="30" t="s">
        <v>82</v>
      </c>
      <c r="C134" s="29">
        <v>185900</v>
      </c>
      <c r="D134" s="29"/>
      <c r="E134" s="29"/>
      <c r="F134" s="45"/>
      <c r="G134" s="45"/>
      <c r="H134" s="29"/>
      <c r="I134" s="29"/>
      <c r="J134" s="45"/>
      <c r="K134" s="45"/>
      <c r="L134" s="29">
        <f t="shared" ref="L134:L135" si="18">C134+D134-E134+F134-G134+H134+J134-K134</f>
        <v>185900</v>
      </c>
      <c r="M134" s="29"/>
      <c r="N134" s="29">
        <f t="shared" si="15"/>
        <v>185900</v>
      </c>
      <c r="O134" s="39">
        <f>M134/$M$138</f>
        <v>0</v>
      </c>
    </row>
    <row r="135" spans="1:15" ht="15.95" customHeight="1" x14ac:dyDescent="0.2">
      <c r="A135" s="42" t="s">
        <v>224</v>
      </c>
      <c r="B135" s="30" t="s">
        <v>225</v>
      </c>
      <c r="C135" s="29">
        <v>7170</v>
      </c>
      <c r="D135" s="29"/>
      <c r="E135" s="29"/>
      <c r="F135" s="29"/>
      <c r="G135" s="29"/>
      <c r="H135" s="29"/>
      <c r="I135" s="29"/>
      <c r="J135" s="45"/>
      <c r="K135" s="45"/>
      <c r="L135" s="29">
        <f t="shared" si="18"/>
        <v>7170</v>
      </c>
      <c r="M135" s="29"/>
      <c r="N135" s="29">
        <f t="shared" si="15"/>
        <v>7170</v>
      </c>
      <c r="O135" s="39">
        <f>M135/$M$138</f>
        <v>0</v>
      </c>
    </row>
    <row r="136" spans="1:15" ht="15.95" customHeight="1" x14ac:dyDescent="0.2">
      <c r="A136" s="42" t="s">
        <v>226</v>
      </c>
      <c r="B136" s="30" t="s">
        <v>227</v>
      </c>
      <c r="C136" s="29">
        <v>70000</v>
      </c>
      <c r="D136" s="29"/>
      <c r="E136" s="29"/>
      <c r="F136" s="29"/>
      <c r="G136" s="29"/>
      <c r="H136" s="29"/>
      <c r="I136" s="29"/>
      <c r="J136" s="45"/>
      <c r="K136" s="45"/>
      <c r="L136" s="29">
        <f>C136+D136-E136+F136-G136+H136+J136-K136</f>
        <v>70000</v>
      </c>
      <c r="M136" s="29"/>
      <c r="N136" s="29">
        <f t="shared" si="15"/>
        <v>70000</v>
      </c>
      <c r="O136" s="39">
        <f>M136/$M$138</f>
        <v>0</v>
      </c>
    </row>
    <row r="137" spans="1:15" ht="15.95" customHeight="1" thickBot="1" x14ac:dyDescent="0.25">
      <c r="A137" s="42" t="s">
        <v>228</v>
      </c>
      <c r="B137" s="30" t="s">
        <v>229</v>
      </c>
      <c r="C137" s="29">
        <v>8750</v>
      </c>
      <c r="D137" s="29"/>
      <c r="E137" s="29"/>
      <c r="F137" s="29"/>
      <c r="G137" s="29"/>
      <c r="H137" s="29"/>
      <c r="I137" s="29"/>
      <c r="J137" s="45"/>
      <c r="K137" s="45"/>
      <c r="L137" s="29">
        <f t="shared" ref="L137" si="19">C137+D137-E137+F137-G137+H137+J137-K137</f>
        <v>8750</v>
      </c>
      <c r="M137" s="29"/>
      <c r="N137" s="29">
        <f t="shared" si="15"/>
        <v>8750</v>
      </c>
      <c r="O137" s="39">
        <f>M137/$M$138</f>
        <v>0</v>
      </c>
    </row>
    <row r="138" spans="1:15" ht="18" customHeight="1" thickBot="1" x14ac:dyDescent="0.3">
      <c r="A138" s="33"/>
      <c r="B138" s="34" t="s">
        <v>91</v>
      </c>
      <c r="C138" s="35">
        <f t="shared" ref="C138:N138" si="20">SUM(C31:C137)</f>
        <v>8258523.6200000001</v>
      </c>
      <c r="D138" s="35">
        <f t="shared" si="20"/>
        <v>0</v>
      </c>
      <c r="E138" s="35">
        <f t="shared" si="20"/>
        <v>0</v>
      </c>
      <c r="F138" s="35">
        <f t="shared" si="20"/>
        <v>0</v>
      </c>
      <c r="G138" s="35">
        <f t="shared" si="20"/>
        <v>0</v>
      </c>
      <c r="H138" s="35">
        <f t="shared" si="20"/>
        <v>0</v>
      </c>
      <c r="I138" s="35">
        <f t="shared" si="20"/>
        <v>0</v>
      </c>
      <c r="J138" s="65">
        <f t="shared" si="20"/>
        <v>0</v>
      </c>
      <c r="K138" s="65">
        <f t="shared" si="20"/>
        <v>0</v>
      </c>
      <c r="L138" s="35">
        <f>SUM(L31:L137)</f>
        <v>8258523.6200000001</v>
      </c>
      <c r="M138" s="35">
        <f>SUM(M31:M137)</f>
        <v>226316.60000000003</v>
      </c>
      <c r="N138" s="35">
        <f t="shared" si="20"/>
        <v>8032207.0200000014</v>
      </c>
      <c r="O138" s="46">
        <v>1</v>
      </c>
    </row>
    <row r="139" spans="1:15" x14ac:dyDescent="0.2">
      <c r="A139" s="47"/>
      <c r="B139" s="76"/>
      <c r="C139" s="78"/>
      <c r="D139" s="77"/>
      <c r="E139" s="48"/>
      <c r="F139" s="48"/>
      <c r="G139" s="48"/>
      <c r="H139" s="48"/>
      <c r="I139" s="48"/>
      <c r="J139" s="66"/>
      <c r="K139" s="66"/>
      <c r="L139" s="48"/>
      <c r="M139" s="48"/>
      <c r="N139" s="48"/>
    </row>
    <row r="140" spans="1:15" ht="15.75" thickBot="1" x14ac:dyDescent="0.25">
      <c r="E140" s="12"/>
      <c r="F140" s="4"/>
      <c r="L140" s="15"/>
      <c r="M140" s="4"/>
    </row>
    <row r="141" spans="1:15" ht="15.75" x14ac:dyDescent="0.25">
      <c r="A141" s="1" t="s">
        <v>83</v>
      </c>
      <c r="B141" s="2"/>
      <c r="C141" s="3"/>
      <c r="D141" s="4"/>
      <c r="E141" s="4"/>
      <c r="F141" s="4"/>
      <c r="G141" s="4"/>
      <c r="H141" s="4"/>
      <c r="I141" s="4"/>
      <c r="J141" s="67"/>
      <c r="K141" s="67"/>
      <c r="L141" s="4"/>
      <c r="M141" s="4"/>
    </row>
    <row r="142" spans="1:15" ht="15.75" x14ac:dyDescent="0.25">
      <c r="A142" s="5" t="s">
        <v>2</v>
      </c>
      <c r="B142" s="6"/>
      <c r="C142" s="7"/>
      <c r="D142" s="4"/>
      <c r="E142" s="4"/>
      <c r="F142" s="4"/>
      <c r="G142" s="4"/>
      <c r="H142" s="4"/>
      <c r="I142" s="4"/>
      <c r="J142" s="67"/>
      <c r="K142" s="67"/>
      <c r="L142" s="4"/>
      <c r="M142" s="4"/>
    </row>
    <row r="143" spans="1:15" ht="5.0999999999999996" customHeight="1" thickBot="1" x14ac:dyDescent="0.25">
      <c r="A143" s="8"/>
      <c r="B143" s="9"/>
      <c r="C143" s="10"/>
      <c r="D143" s="4"/>
      <c r="E143" s="4"/>
      <c r="F143" s="4"/>
      <c r="G143" s="4"/>
      <c r="H143" s="4"/>
      <c r="I143" s="4"/>
      <c r="J143" s="67"/>
      <c r="K143" s="67"/>
      <c r="L143" s="4"/>
      <c r="M143" s="4"/>
    </row>
    <row r="144" spans="1:15" ht="6.95" customHeight="1" x14ac:dyDescent="0.2">
      <c r="A144" s="49"/>
      <c r="B144" s="50"/>
      <c r="C144" s="51"/>
      <c r="D144" s="4"/>
      <c r="E144" s="4"/>
      <c r="F144" s="4"/>
      <c r="G144" s="4"/>
      <c r="H144" s="4"/>
      <c r="I144" s="4"/>
      <c r="J144" s="67"/>
      <c r="K144" s="67"/>
      <c r="L144" s="4"/>
      <c r="M144" s="4"/>
    </row>
    <row r="145" spans="1:12" x14ac:dyDescent="0.2">
      <c r="A145" s="52" t="s">
        <v>84</v>
      </c>
      <c r="B145" s="53"/>
      <c r="C145" s="54"/>
      <c r="D145" s="4"/>
      <c r="E145" s="4"/>
      <c r="F145" s="4"/>
      <c r="G145" s="4"/>
      <c r="H145" s="4"/>
      <c r="I145" s="4"/>
      <c r="J145" s="67"/>
      <c r="K145" s="67"/>
      <c r="L145" s="4"/>
    </row>
    <row r="146" spans="1:12" x14ac:dyDescent="0.2">
      <c r="A146" s="55" t="s">
        <v>255</v>
      </c>
      <c r="B146" s="53"/>
      <c r="C146" s="70">
        <v>2534598.2200000002</v>
      </c>
      <c r="D146" s="48"/>
      <c r="E146" s="4"/>
      <c r="F146" s="4"/>
      <c r="G146" s="4"/>
      <c r="H146" s="4"/>
      <c r="I146" s="4"/>
      <c r="J146" s="67"/>
      <c r="K146" s="67"/>
      <c r="L146" s="4"/>
    </row>
    <row r="147" spans="1:12" x14ac:dyDescent="0.2">
      <c r="A147" s="55" t="s">
        <v>256</v>
      </c>
      <c r="B147" s="53"/>
      <c r="C147" s="70">
        <v>-22148.02</v>
      </c>
      <c r="D147" s="48"/>
      <c r="E147" s="4"/>
      <c r="F147" s="4"/>
      <c r="G147" s="4"/>
      <c r="H147" s="4"/>
      <c r="I147" s="4"/>
      <c r="J147" s="67"/>
      <c r="K147" s="67"/>
      <c r="L147" s="4"/>
    </row>
    <row r="148" spans="1:12" x14ac:dyDescent="0.2">
      <c r="A148" s="55" t="s">
        <v>257</v>
      </c>
      <c r="B148" s="53"/>
      <c r="C148" s="70"/>
      <c r="D148" s="48"/>
      <c r="E148" s="4"/>
      <c r="F148" s="4"/>
      <c r="G148" s="4"/>
      <c r="H148" s="4"/>
      <c r="I148" s="4"/>
      <c r="J148" s="67"/>
      <c r="K148" s="67"/>
      <c r="L148" s="4"/>
    </row>
    <row r="149" spans="1:12" x14ac:dyDescent="0.2">
      <c r="A149" s="84" t="s">
        <v>243</v>
      </c>
      <c r="B149" s="53"/>
      <c r="C149" s="70"/>
      <c r="D149" s="48"/>
      <c r="E149" s="4"/>
      <c r="F149" s="4"/>
      <c r="G149" s="4"/>
      <c r="H149" s="4"/>
      <c r="I149" s="4"/>
      <c r="J149" s="67"/>
      <c r="K149" s="67"/>
      <c r="L149" s="4"/>
    </row>
    <row r="150" spans="1:12" x14ac:dyDescent="0.2">
      <c r="A150" s="55" t="s">
        <v>85</v>
      </c>
      <c r="B150" s="53"/>
      <c r="C150" s="70">
        <f>M26</f>
        <v>608325.09000000008</v>
      </c>
      <c r="D150" s="48"/>
      <c r="E150" s="4"/>
      <c r="F150" s="4"/>
      <c r="G150" s="4"/>
      <c r="H150" s="4"/>
      <c r="I150" s="4"/>
      <c r="J150" s="67"/>
      <c r="K150" s="67"/>
      <c r="L150" s="4"/>
    </row>
    <row r="151" spans="1:12" x14ac:dyDescent="0.2">
      <c r="A151" s="55" t="s">
        <v>86</v>
      </c>
      <c r="B151" s="53"/>
      <c r="C151" s="71">
        <f>-M138</f>
        <v>-226316.60000000003</v>
      </c>
      <c r="D151" s="4"/>
      <c r="E151" s="4"/>
      <c r="F151" s="4"/>
      <c r="G151" s="4"/>
      <c r="H151" s="4"/>
      <c r="I151" s="4"/>
      <c r="J151" s="67"/>
      <c r="K151" s="67"/>
      <c r="L151" s="4"/>
    </row>
    <row r="152" spans="1:12" ht="15.75" x14ac:dyDescent="0.25">
      <c r="A152" s="56" t="s">
        <v>87</v>
      </c>
      <c r="B152" s="57"/>
      <c r="C152" s="72">
        <f>SUM(C146:C151)</f>
        <v>2894458.69</v>
      </c>
      <c r="D152" s="4"/>
      <c r="E152" s="4"/>
      <c r="F152" s="4"/>
      <c r="G152" s="4"/>
      <c r="H152" s="4"/>
      <c r="I152" s="4"/>
      <c r="J152" s="67"/>
      <c r="K152" s="67"/>
      <c r="L152" s="4"/>
    </row>
    <row r="153" spans="1:12" ht="15.75" x14ac:dyDescent="0.25">
      <c r="A153" s="56"/>
      <c r="B153" s="57"/>
      <c r="C153" s="72"/>
      <c r="D153" s="4"/>
      <c r="E153" s="4"/>
      <c r="F153" s="4"/>
      <c r="G153" s="4"/>
      <c r="H153" s="4"/>
      <c r="I153" s="4"/>
      <c r="J153" s="67"/>
      <c r="K153" s="67"/>
      <c r="L153" s="4"/>
    </row>
    <row r="154" spans="1:12" x14ac:dyDescent="0.2">
      <c r="A154" s="52" t="s">
        <v>88</v>
      </c>
      <c r="B154" s="53"/>
      <c r="C154" s="70"/>
      <c r="D154" s="4"/>
      <c r="E154" s="4"/>
      <c r="F154" s="4"/>
      <c r="G154" s="4"/>
      <c r="H154" s="4"/>
      <c r="I154" s="4"/>
      <c r="J154" s="67"/>
      <c r="K154" s="67"/>
      <c r="L154" s="4"/>
    </row>
    <row r="155" spans="1:12" ht="12" customHeight="1" x14ac:dyDescent="0.2">
      <c r="A155" s="55" t="s">
        <v>148</v>
      </c>
      <c r="B155" s="53"/>
      <c r="C155" s="70">
        <v>272</v>
      </c>
      <c r="D155" s="4"/>
      <c r="E155" s="4"/>
      <c r="F155" s="4"/>
      <c r="G155" s="4"/>
      <c r="H155" s="4"/>
      <c r="I155" s="4"/>
      <c r="J155" s="67"/>
      <c r="K155" s="67"/>
      <c r="L155" s="4"/>
    </row>
    <row r="156" spans="1:12" ht="12" customHeight="1" x14ac:dyDescent="0.2">
      <c r="A156" s="55" t="s">
        <v>245</v>
      </c>
      <c r="B156" s="53"/>
      <c r="C156" s="70"/>
      <c r="D156" s="4"/>
      <c r="E156" s="4"/>
      <c r="F156" s="4"/>
      <c r="G156" s="4"/>
      <c r="H156" s="4"/>
      <c r="I156" s="4"/>
      <c r="J156" s="67"/>
      <c r="K156" s="67"/>
      <c r="L156" s="4"/>
    </row>
    <row r="157" spans="1:12" ht="12" customHeight="1" x14ac:dyDescent="0.2">
      <c r="A157" s="55" t="s">
        <v>253</v>
      </c>
      <c r="B157" s="53"/>
      <c r="C157" s="70"/>
      <c r="D157" s="4"/>
      <c r="E157" s="4"/>
      <c r="F157" s="4"/>
      <c r="G157" s="4"/>
      <c r="H157" s="4"/>
      <c r="I157" s="4"/>
      <c r="J157" s="67"/>
      <c r="K157" s="67"/>
      <c r="L157" s="4"/>
    </row>
    <row r="158" spans="1:12" x14ac:dyDescent="0.2">
      <c r="A158" s="55" t="s">
        <v>151</v>
      </c>
      <c r="B158" s="53"/>
      <c r="C158" s="70">
        <f>3046.69+6730.44+630.78-0.07</f>
        <v>10407.84</v>
      </c>
      <c r="D158" s="80"/>
      <c r="E158" s="4"/>
      <c r="F158" s="4"/>
      <c r="G158" s="4"/>
      <c r="H158" s="4"/>
      <c r="I158" s="4"/>
      <c r="J158" s="67"/>
      <c r="K158" s="67"/>
      <c r="L158" s="4"/>
    </row>
    <row r="159" spans="1:12" x14ac:dyDescent="0.2">
      <c r="A159" s="55" t="s">
        <v>150</v>
      </c>
      <c r="B159" s="53"/>
      <c r="C159" s="70">
        <v>2109.64</v>
      </c>
      <c r="D159" s="81"/>
      <c r="E159" s="4"/>
      <c r="F159" s="4"/>
      <c r="G159" s="4"/>
      <c r="H159" s="4"/>
      <c r="I159" s="4"/>
      <c r="J159" s="67"/>
      <c r="K159" s="67"/>
      <c r="L159" s="4"/>
    </row>
    <row r="160" spans="1:12" x14ac:dyDescent="0.2">
      <c r="A160" s="55" t="s">
        <v>149</v>
      </c>
      <c r="B160" s="53"/>
      <c r="C160" s="70">
        <v>200.89</v>
      </c>
      <c r="D160" s="81"/>
      <c r="E160" s="4"/>
      <c r="F160" s="4"/>
      <c r="G160" s="4"/>
      <c r="H160" s="4"/>
      <c r="I160" s="4"/>
      <c r="J160" s="67"/>
      <c r="K160" s="67"/>
      <c r="L160" s="4"/>
    </row>
    <row r="161" spans="1:13" x14ac:dyDescent="0.2">
      <c r="A161" s="55" t="s">
        <v>257</v>
      </c>
      <c r="B161" s="53"/>
      <c r="C161" s="70"/>
      <c r="D161" s="81"/>
      <c r="E161" s="4"/>
      <c r="F161" s="4"/>
      <c r="G161" s="4"/>
      <c r="H161" s="4"/>
      <c r="I161" s="4"/>
      <c r="J161" s="67"/>
      <c r="K161" s="67"/>
      <c r="L161" s="4"/>
    </row>
    <row r="162" spans="1:13" x14ac:dyDescent="0.2">
      <c r="A162" s="55" t="s">
        <v>261</v>
      </c>
      <c r="B162" s="53"/>
      <c r="C162" s="70">
        <v>-400</v>
      </c>
      <c r="D162" s="81"/>
      <c r="E162" s="4"/>
      <c r="F162" s="4"/>
      <c r="G162" s="4"/>
      <c r="H162" s="4"/>
      <c r="I162" s="4"/>
      <c r="J162" s="67"/>
      <c r="K162" s="67"/>
      <c r="L162" s="4"/>
    </row>
    <row r="163" spans="1:13" x14ac:dyDescent="0.2">
      <c r="A163" s="55"/>
      <c r="B163" s="53"/>
      <c r="C163" s="70"/>
      <c r="D163" s="81"/>
      <c r="E163" s="4"/>
      <c r="F163" s="4"/>
      <c r="G163" s="4"/>
      <c r="H163" s="4"/>
      <c r="I163" s="4"/>
      <c r="J163" s="67"/>
      <c r="K163" s="67"/>
      <c r="L163" s="4"/>
    </row>
    <row r="164" spans="1:13" x14ac:dyDescent="0.2">
      <c r="A164" s="55"/>
      <c r="B164" s="53"/>
      <c r="C164" s="71"/>
      <c r="D164" s="82"/>
      <c r="E164" s="83"/>
      <c r="F164" s="4"/>
      <c r="G164" s="4"/>
      <c r="H164" s="4"/>
      <c r="I164" s="4"/>
      <c r="J164" s="67"/>
      <c r="K164" s="67"/>
      <c r="L164" s="4"/>
    </row>
    <row r="165" spans="1:13" ht="15.75" x14ac:dyDescent="0.25">
      <c r="A165" s="56"/>
      <c r="B165" s="57"/>
      <c r="C165" s="72">
        <f>SUM(C155:C164)</f>
        <v>12590.369999999999</v>
      </c>
      <c r="D165" s="82"/>
      <c r="E165" s="83"/>
      <c r="F165" s="4"/>
      <c r="G165" s="4"/>
      <c r="H165" s="4"/>
      <c r="I165" s="4"/>
      <c r="J165" s="67"/>
      <c r="K165" s="67"/>
      <c r="L165" s="4"/>
    </row>
    <row r="166" spans="1:13" ht="2.1" customHeight="1" x14ac:dyDescent="0.25">
      <c r="A166" s="56"/>
      <c r="B166" s="57"/>
      <c r="C166" s="73"/>
      <c r="D166" s="81"/>
      <c r="E166" s="4"/>
      <c r="F166" s="4"/>
      <c r="G166" s="4"/>
      <c r="H166" s="4"/>
      <c r="I166" s="4"/>
      <c r="J166" s="67"/>
      <c r="K166" s="67"/>
      <c r="L166" s="4"/>
    </row>
    <row r="167" spans="1:13" x14ac:dyDescent="0.2">
      <c r="A167" s="55"/>
      <c r="B167" s="53"/>
      <c r="C167" s="70"/>
      <c r="D167" s="81"/>
      <c r="E167" s="4"/>
      <c r="F167" s="4"/>
      <c r="G167" s="4"/>
      <c r="H167" s="4"/>
      <c r="I167" s="4"/>
      <c r="J167" s="67"/>
      <c r="K167" s="67"/>
      <c r="L167" s="4"/>
    </row>
    <row r="168" spans="1:13" ht="2.1" customHeight="1" thickBot="1" x14ac:dyDescent="0.3">
      <c r="A168" s="58" t="s">
        <v>242</v>
      </c>
      <c r="B168" s="59"/>
      <c r="C168" s="69">
        <f>C152+C165</f>
        <v>2907049.06</v>
      </c>
      <c r="D168" s="80"/>
      <c r="E168" s="4"/>
      <c r="F168" s="4"/>
      <c r="G168" s="4"/>
      <c r="H168" s="4"/>
      <c r="I168" s="4"/>
      <c r="J168" s="67"/>
      <c r="K168" s="67"/>
      <c r="L168" s="4"/>
    </row>
    <row r="169" spans="1:13" ht="9.9499999999999993" customHeight="1" x14ac:dyDescent="0.2">
      <c r="A169" s="55"/>
      <c r="B169" s="53"/>
      <c r="C169" s="70"/>
      <c r="D169" s="80"/>
      <c r="E169" s="4"/>
      <c r="F169" s="4"/>
      <c r="G169" s="4"/>
      <c r="H169" s="4"/>
      <c r="I169" s="4"/>
      <c r="J169" s="67"/>
      <c r="K169" s="67"/>
      <c r="L169" s="4"/>
    </row>
    <row r="170" spans="1:13" ht="16.5" thickBot="1" x14ac:dyDescent="0.3">
      <c r="A170" s="58" t="s">
        <v>260</v>
      </c>
      <c r="B170" s="59"/>
      <c r="C170" s="69">
        <f>C152+C165</f>
        <v>2907049.06</v>
      </c>
      <c r="D170" s="82"/>
      <c r="E170" s="4"/>
      <c r="F170" s="4"/>
      <c r="G170" s="4"/>
      <c r="H170" s="4"/>
      <c r="I170" s="4"/>
      <c r="J170" s="67"/>
      <c r="K170" s="67"/>
      <c r="L170" s="4"/>
      <c r="M170" s="4"/>
    </row>
    <row r="171" spans="1:13" x14ac:dyDescent="0.2">
      <c r="A171" s="53"/>
      <c r="C171" s="4"/>
      <c r="D171" s="4"/>
      <c r="E171" s="4"/>
      <c r="F171" s="4"/>
      <c r="G171" s="4"/>
      <c r="H171" s="4"/>
      <c r="I171" s="4"/>
      <c r="J171" s="67"/>
      <c r="K171" s="67"/>
      <c r="L171" s="4"/>
    </row>
    <row r="172" spans="1:13" x14ac:dyDescent="0.2">
      <c r="C172" s="4"/>
      <c r="D172" s="4"/>
      <c r="E172" s="4"/>
    </row>
    <row r="173" spans="1:13" x14ac:dyDescent="0.2">
      <c r="C173" s="14"/>
      <c r="D173" s="4"/>
    </row>
    <row r="174" spans="1:13" x14ac:dyDescent="0.2">
      <c r="C174" s="14"/>
      <c r="D174" s="4"/>
    </row>
    <row r="175" spans="1:13" x14ac:dyDescent="0.2">
      <c r="C175" s="15"/>
      <c r="D175" s="4"/>
      <c r="I175" s="4"/>
      <c r="K175" s="67"/>
      <c r="L175" s="4"/>
    </row>
    <row r="176" spans="1:13" x14ac:dyDescent="0.2">
      <c r="C176" s="15"/>
      <c r="D176" s="4"/>
    </row>
    <row r="177" spans="2:12" x14ac:dyDescent="0.2">
      <c r="C177" s="15"/>
      <c r="D177" s="4"/>
    </row>
    <row r="178" spans="2:12" x14ac:dyDescent="0.2">
      <c r="C178" s="15"/>
      <c r="D178" s="4"/>
    </row>
    <row r="179" spans="2:12" x14ac:dyDescent="0.2">
      <c r="C179" s="15"/>
      <c r="D179" s="4"/>
    </row>
    <row r="180" spans="2:12" x14ac:dyDescent="0.2">
      <c r="D180" s="4"/>
    </row>
    <row r="181" spans="2:12" x14ac:dyDescent="0.2">
      <c r="D181" s="4"/>
    </row>
    <row r="182" spans="2:12" x14ac:dyDescent="0.2">
      <c r="B182" s="11" t="s">
        <v>240</v>
      </c>
      <c r="C182" s="13" t="s">
        <v>230</v>
      </c>
      <c r="G182" s="11" t="s">
        <v>251</v>
      </c>
      <c r="J182" s="13" t="s">
        <v>238</v>
      </c>
      <c r="K182" s="75"/>
    </row>
    <row r="183" spans="2:12" x14ac:dyDescent="0.2">
      <c r="B183" s="11" t="s">
        <v>89</v>
      </c>
      <c r="C183" s="13" t="s">
        <v>90</v>
      </c>
      <c r="G183" s="11" t="s">
        <v>252</v>
      </c>
      <c r="J183" s="11" t="s">
        <v>246</v>
      </c>
    </row>
    <row r="187" spans="2:12" x14ac:dyDescent="0.2">
      <c r="I187" s="4"/>
      <c r="K187" s="67"/>
      <c r="L187" s="4"/>
    </row>
    <row r="188" spans="2:12" x14ac:dyDescent="0.2">
      <c r="I188" s="4"/>
      <c r="K188" s="67"/>
      <c r="L188" s="4"/>
    </row>
    <row r="189" spans="2:12" x14ac:dyDescent="0.2">
      <c r="G189" s="60"/>
      <c r="I189" s="60"/>
      <c r="K189" s="68"/>
      <c r="L189" s="4"/>
    </row>
    <row r="190" spans="2:12" x14ac:dyDescent="0.2">
      <c r="G190" s="60"/>
      <c r="I190" s="60"/>
      <c r="K190" s="68"/>
      <c r="L190" s="4"/>
    </row>
    <row r="191" spans="2:12" x14ac:dyDescent="0.2">
      <c r="G191" s="60"/>
      <c r="L191" s="4"/>
    </row>
    <row r="192" spans="2:12" x14ac:dyDescent="0.2">
      <c r="G192" s="60"/>
    </row>
    <row r="193" spans="7:12" x14ac:dyDescent="0.2">
      <c r="G193" s="60"/>
    </row>
    <row r="194" spans="7:12" x14ac:dyDescent="0.2">
      <c r="G194" s="60"/>
      <c r="L194" s="4"/>
    </row>
    <row r="195" spans="7:12" x14ac:dyDescent="0.2">
      <c r="G195" s="60"/>
    </row>
    <row r="196" spans="7:12" x14ac:dyDescent="0.2">
      <c r="G196" s="60"/>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5" max="16383" man="1"/>
    <brk id="11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71D52-0D79-468C-9714-965B2B681D92}">
  <dimension ref="A1:O206"/>
  <sheetViews>
    <sheetView topLeftCell="A132" zoomScaleNormal="100" workbookViewId="0">
      <selection activeCell="C161" sqref="C161"/>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f>
        <v>18600</v>
      </c>
      <c r="N10" s="29">
        <f t="shared" ref="N10:N22" si="1">L10-M10</f>
        <v>18400</v>
      </c>
      <c r="O10" s="28">
        <f>M10/$M$26</f>
        <v>2.1551760097486258E-2</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c r="N12" s="29">
        <f t="shared" si="1"/>
        <v>30500</v>
      </c>
      <c r="O12" s="28">
        <f>M12/$M$26</f>
        <v>0</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f>
        <v>4348.82</v>
      </c>
      <c r="N15" s="29">
        <f t="shared" si="1"/>
        <v>4451.18</v>
      </c>
      <c r="O15" s="28">
        <f>M15/$M$26</f>
        <v>5.0389637283414085E-3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f>
        <v>840089.74</v>
      </c>
      <c r="N18" s="29">
        <f t="shared" si="1"/>
        <v>2829859.7800000003</v>
      </c>
      <c r="O18" s="28">
        <f>M18/$M$26</f>
        <v>0.97340927617417239</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c r="H20" s="29"/>
      <c r="I20" s="29"/>
      <c r="J20" s="45"/>
      <c r="K20" s="45"/>
      <c r="L20" s="29">
        <f t="shared" si="0"/>
        <v>2685493.4</v>
      </c>
      <c r="M20" s="29"/>
      <c r="N20" s="29">
        <f t="shared" si="1"/>
        <v>2685493.4</v>
      </c>
      <c r="O20" s="28">
        <f>M20/$M$26</f>
        <v>0</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c r="G25" s="29"/>
      <c r="H25" s="29"/>
      <c r="I25" s="29"/>
      <c r="J25" s="45"/>
      <c r="K25" s="45"/>
      <c r="L25" s="29">
        <f>C25+D25-E25+F25-G25+J25-K25</f>
        <v>1492732.86</v>
      </c>
      <c r="M25" s="29"/>
      <c r="N25" s="29">
        <f>L25-M25</f>
        <v>1492732.86</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0</v>
      </c>
      <c r="G26" s="35">
        <f t="shared" si="2"/>
        <v>0</v>
      </c>
      <c r="H26" s="35">
        <f t="shared" si="2"/>
        <v>0</v>
      </c>
      <c r="I26" s="35">
        <f t="shared" si="2"/>
        <v>0</v>
      </c>
      <c r="J26" s="35">
        <f t="shared" si="2"/>
        <v>0</v>
      </c>
      <c r="K26" s="35">
        <f t="shared" si="2"/>
        <v>0</v>
      </c>
      <c r="L26" s="35">
        <f t="shared" si="2"/>
        <v>8258523.6200000001</v>
      </c>
      <c r="M26" s="35">
        <f>SUM(M10:M25)</f>
        <v>863038.55999999994</v>
      </c>
      <c r="N26" s="35">
        <f t="shared" si="2"/>
        <v>7395485.0600000005</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c r="H31" s="29"/>
      <c r="I31" s="29"/>
      <c r="J31" s="45"/>
      <c r="K31" s="45"/>
      <c r="L31" s="29">
        <f>C31+D31-E31+F31-G31+H31+J31-I31-K31</f>
        <v>814572.04</v>
      </c>
      <c r="M31" s="29">
        <f>62931.76+63078.14+63078.14</f>
        <v>189088.03999999998</v>
      </c>
      <c r="N31" s="29">
        <f t="shared" ref="N31:N99" si="3">L31-M31</f>
        <v>625484</v>
      </c>
      <c r="O31" s="39">
        <f>M31/$M$138</f>
        <v>0.35551183103896178</v>
      </c>
    </row>
    <row r="32" spans="1:15" ht="15.95" customHeight="1" x14ac:dyDescent="0.2">
      <c r="A32" s="42" t="s">
        <v>37</v>
      </c>
      <c r="B32" s="30" t="s">
        <v>154</v>
      </c>
      <c r="C32" s="29">
        <v>13700</v>
      </c>
      <c r="D32" s="29"/>
      <c r="E32" s="29"/>
      <c r="F32" s="45"/>
      <c r="G32" s="45"/>
      <c r="H32" s="29"/>
      <c r="I32" s="29"/>
      <c r="J32" s="45"/>
      <c r="K32" s="45"/>
      <c r="L32" s="29">
        <f t="shared" ref="L32:L41" si="4">C32+D32-E32+F32-G32+H32+J32-K32</f>
        <v>13700</v>
      </c>
      <c r="M32" s="29">
        <f>1125+1125+1125</f>
        <v>3375</v>
      </c>
      <c r="N32" s="29">
        <f t="shared" si="3"/>
        <v>10325</v>
      </c>
      <c r="O32" s="39">
        <f>M32/$M$138</f>
        <v>6.3454697068968304E-3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f>
        <v>63447</v>
      </c>
      <c r="N33" s="29">
        <f t="shared" si="3"/>
        <v>247653</v>
      </c>
      <c r="O33" s="39">
        <f>M33/$M$138</f>
        <v>0.11928919007214317</v>
      </c>
    </row>
    <row r="34" spans="1:15" ht="15.95" customHeight="1" x14ac:dyDescent="0.2">
      <c r="A34" s="42" t="s">
        <v>247</v>
      </c>
      <c r="B34" s="30" t="s">
        <v>248</v>
      </c>
      <c r="C34" s="29">
        <v>154000</v>
      </c>
      <c r="D34" s="29"/>
      <c r="E34" s="29"/>
      <c r="F34" s="45"/>
      <c r="G34" s="45"/>
      <c r="H34" s="29"/>
      <c r="I34" s="29"/>
      <c r="J34" s="45"/>
      <c r="K34" s="45"/>
      <c r="L34" s="29">
        <f t="shared" si="4"/>
        <v>154000</v>
      </c>
      <c r="M34" s="29"/>
      <c r="N34" s="29">
        <f t="shared" si="3"/>
        <v>154000</v>
      </c>
      <c r="O34" s="39">
        <f>M34/$M$138</f>
        <v>0</v>
      </c>
    </row>
    <row r="35" spans="1:15" ht="15.95" customHeight="1" x14ac:dyDescent="0.2">
      <c r="A35" s="42" t="s">
        <v>39</v>
      </c>
      <c r="B35" s="30" t="s">
        <v>40</v>
      </c>
      <c r="C35" s="29">
        <v>17500</v>
      </c>
      <c r="D35" s="29"/>
      <c r="E35" s="29"/>
      <c r="F35" s="45"/>
      <c r="G35" s="45"/>
      <c r="H35" s="29"/>
      <c r="I35" s="29"/>
      <c r="J35" s="45"/>
      <c r="K35" s="45"/>
      <c r="L35" s="29">
        <f t="shared" si="4"/>
        <v>17500</v>
      </c>
      <c r="M35" s="29"/>
      <c r="N35" s="29">
        <f t="shared" si="3"/>
        <v>17500</v>
      </c>
      <c r="O35" s="39">
        <f t="shared" ref="O35:O41" si="5">M35/$M$138</f>
        <v>0</v>
      </c>
    </row>
    <row r="36" spans="1:15" ht="15.95" customHeight="1" x14ac:dyDescent="0.2">
      <c r="A36" s="42" t="s">
        <v>41</v>
      </c>
      <c r="B36" s="30" t="s">
        <v>156</v>
      </c>
      <c r="C36" s="29">
        <v>34510.800000000003</v>
      </c>
      <c r="D36" s="29"/>
      <c r="E36" s="29"/>
      <c r="F36" s="45"/>
      <c r="G36" s="45"/>
      <c r="H36" s="29"/>
      <c r="I36" s="29"/>
      <c r="J36" s="45"/>
      <c r="K36" s="45"/>
      <c r="L36" s="29">
        <f t="shared" si="4"/>
        <v>34510.800000000003</v>
      </c>
      <c r="M36" s="29">
        <v>3669.23</v>
      </c>
      <c r="N36" s="29">
        <f t="shared" si="3"/>
        <v>30841.570000000003</v>
      </c>
      <c r="O36" s="39">
        <f t="shared" si="5"/>
        <v>6.898663055596165E-3</v>
      </c>
    </row>
    <row r="37" spans="1:15" ht="15.95" customHeight="1" x14ac:dyDescent="0.2">
      <c r="A37" s="42" t="s">
        <v>42</v>
      </c>
      <c r="B37" s="30" t="s">
        <v>157</v>
      </c>
      <c r="C37" s="29">
        <v>87401.15</v>
      </c>
      <c r="D37" s="29"/>
      <c r="E37" s="29"/>
      <c r="F37" s="45"/>
      <c r="G37" s="45"/>
      <c r="H37" s="29"/>
      <c r="I37" s="29"/>
      <c r="J37" s="45"/>
      <c r="K37" s="45"/>
      <c r="L37" s="29">
        <f t="shared" si="4"/>
        <v>87401.15</v>
      </c>
      <c r="M37" s="29">
        <f>6536.21+6924.6+7121.94</f>
        <v>20582.75</v>
      </c>
      <c r="N37" s="29">
        <f t="shared" si="3"/>
        <v>66818.399999999994</v>
      </c>
      <c r="O37" s="39">
        <f t="shared" si="5"/>
        <v>3.8698434551001699E-2</v>
      </c>
    </row>
    <row r="38" spans="1:15" ht="15.95" customHeight="1" x14ac:dyDescent="0.2">
      <c r="A38" s="42" t="s">
        <v>43</v>
      </c>
      <c r="B38" s="30" t="s">
        <v>158</v>
      </c>
      <c r="C38" s="29">
        <v>8190.84</v>
      </c>
      <c r="D38" s="29"/>
      <c r="E38" s="29"/>
      <c r="F38" s="45"/>
      <c r="G38" s="45"/>
      <c r="H38" s="29"/>
      <c r="I38" s="29"/>
      <c r="J38" s="45"/>
      <c r="K38" s="45"/>
      <c r="L38" s="29">
        <f t="shared" si="4"/>
        <v>8190.84</v>
      </c>
      <c r="M38" s="29">
        <f>587.53+672.57+667.47</f>
        <v>1927.57</v>
      </c>
      <c r="N38" s="29">
        <f t="shared" si="3"/>
        <v>6263.27</v>
      </c>
      <c r="O38" s="39">
        <f t="shared" si="5"/>
        <v>3.6240998645698142E-3</v>
      </c>
    </row>
    <row r="39" spans="1:15" ht="15.95" customHeight="1" x14ac:dyDescent="0.2">
      <c r="A39" s="42" t="s">
        <v>44</v>
      </c>
      <c r="B39" s="30" t="s">
        <v>45</v>
      </c>
      <c r="C39" s="29">
        <v>67581.009999999995</v>
      </c>
      <c r="D39" s="29"/>
      <c r="E39" s="29"/>
      <c r="F39" s="45"/>
      <c r="G39" s="45"/>
      <c r="H39" s="29"/>
      <c r="I39" s="29"/>
      <c r="J39" s="45"/>
      <c r="K39" s="45"/>
      <c r="L39" s="29">
        <f t="shared" si="4"/>
        <v>67581.009999999995</v>
      </c>
      <c r="M39" s="29"/>
      <c r="N39" s="29">
        <f t="shared" si="3"/>
        <v>67581.009999999995</v>
      </c>
      <c r="O39" s="39">
        <f t="shared" si="5"/>
        <v>0</v>
      </c>
    </row>
    <row r="40" spans="1:15" ht="15.95" customHeight="1" x14ac:dyDescent="0.2">
      <c r="A40" s="42" t="s">
        <v>46</v>
      </c>
      <c r="B40" s="30" t="s">
        <v>159</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47</v>
      </c>
      <c r="B41" s="30" t="s">
        <v>48</v>
      </c>
      <c r="C41" s="29">
        <v>4400</v>
      </c>
      <c r="D41" s="29"/>
      <c r="E41" s="29"/>
      <c r="F41" s="45"/>
      <c r="G41" s="45"/>
      <c r="H41" s="29"/>
      <c r="I41" s="29"/>
      <c r="J41" s="45"/>
      <c r="K41" s="45"/>
      <c r="L41" s="29">
        <f t="shared" si="4"/>
        <v>4400</v>
      </c>
      <c r="M41" s="29"/>
      <c r="N41" s="29">
        <f t="shared" si="3"/>
        <v>4400</v>
      </c>
      <c r="O41" s="39">
        <f t="shared" si="5"/>
        <v>0</v>
      </c>
    </row>
    <row r="42" spans="1:15" ht="15.95" customHeight="1" x14ac:dyDescent="0.2">
      <c r="A42" s="42"/>
      <c r="B42" s="30"/>
      <c r="C42" s="29"/>
      <c r="D42" s="29"/>
      <c r="E42" s="29"/>
      <c r="F42" s="45"/>
      <c r="G42" s="45"/>
      <c r="H42" s="29"/>
      <c r="I42" s="29"/>
      <c r="J42" s="45"/>
      <c r="K42" s="45"/>
      <c r="L42" s="29"/>
      <c r="M42" s="29"/>
      <c r="N42" s="29"/>
      <c r="O42" s="39"/>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5">
      <c r="A44" s="40">
        <v>1</v>
      </c>
      <c r="B44" s="41" t="s">
        <v>49</v>
      </c>
      <c r="C44" s="27"/>
      <c r="D44" s="29"/>
      <c r="E44" s="29"/>
      <c r="F44" s="45"/>
      <c r="G44" s="45"/>
      <c r="H44" s="29"/>
      <c r="I44" s="29"/>
      <c r="J44" s="45"/>
      <c r="K44" s="45"/>
      <c r="L44" s="29"/>
      <c r="M44" s="29"/>
      <c r="N44" s="29"/>
      <c r="O44" s="39"/>
    </row>
    <row r="45" spans="1:15" ht="15.95" customHeight="1" x14ac:dyDescent="0.2">
      <c r="A45" s="42" t="s">
        <v>92</v>
      </c>
      <c r="B45" s="30" t="s">
        <v>50</v>
      </c>
      <c r="C45" s="29">
        <v>13750</v>
      </c>
      <c r="D45" s="29"/>
      <c r="E45" s="29"/>
      <c r="F45" s="45"/>
      <c r="G45" s="45"/>
      <c r="H45" s="29"/>
      <c r="I45" s="29"/>
      <c r="J45" s="45"/>
      <c r="K45" s="45"/>
      <c r="L45" s="29">
        <f t="shared" ref="L45:L79" si="6">C45+D45-E45+F45-G45+H45+J45-K45</f>
        <v>13750</v>
      </c>
      <c r="M45" s="29">
        <f>530.61+1202.11+1310.83</f>
        <v>3043.5499999999997</v>
      </c>
      <c r="N45" s="29">
        <f t="shared" si="3"/>
        <v>10706.45</v>
      </c>
      <c r="O45" s="39">
        <f t="shared" ref="O45:O54" si="7">M45/$M$138</f>
        <v>5.722297578200251E-3</v>
      </c>
    </row>
    <row r="46" spans="1:15" ht="15.95" customHeight="1" x14ac:dyDescent="0.2">
      <c r="A46" s="42" t="s">
        <v>93</v>
      </c>
      <c r="B46" s="30" t="s">
        <v>51</v>
      </c>
      <c r="C46" s="29">
        <v>26100</v>
      </c>
      <c r="D46" s="29"/>
      <c r="E46" s="29"/>
      <c r="F46" s="45"/>
      <c r="G46" s="45"/>
      <c r="H46" s="29"/>
      <c r="I46" s="29"/>
      <c r="J46" s="45"/>
      <c r="K46" s="45"/>
      <c r="L46" s="29">
        <f t="shared" si="6"/>
        <v>26100</v>
      </c>
      <c r="M46" s="29">
        <f>4693.76+608+615.86</f>
        <v>5917.62</v>
      </c>
      <c r="N46" s="29">
        <f t="shared" si="3"/>
        <v>20182.38</v>
      </c>
      <c r="O46" s="39">
        <f t="shared" si="7"/>
        <v>1.1125949169459798E-2</v>
      </c>
    </row>
    <row r="47" spans="1:15" ht="15.95" customHeight="1" x14ac:dyDescent="0.2">
      <c r="A47" s="42" t="s">
        <v>94</v>
      </c>
      <c r="B47" s="30" t="s">
        <v>52</v>
      </c>
      <c r="C47" s="29">
        <v>2000</v>
      </c>
      <c r="D47" s="29"/>
      <c r="E47" s="29"/>
      <c r="F47" s="45"/>
      <c r="G47" s="45"/>
      <c r="H47" s="29"/>
      <c r="I47" s="29"/>
      <c r="J47" s="45"/>
      <c r="K47" s="45"/>
      <c r="L47" s="29">
        <f t="shared" si="6"/>
        <v>2000</v>
      </c>
      <c r="M47" s="29"/>
      <c r="N47" s="29">
        <f t="shared" si="3"/>
        <v>2000</v>
      </c>
      <c r="O47" s="39">
        <f t="shared" si="7"/>
        <v>0</v>
      </c>
    </row>
    <row r="48" spans="1:15" ht="15.95" customHeight="1" x14ac:dyDescent="0.2">
      <c r="A48" s="42" t="s">
        <v>95</v>
      </c>
      <c r="B48" s="30" t="s">
        <v>160</v>
      </c>
      <c r="C48" s="29">
        <v>8000</v>
      </c>
      <c r="D48" s="29"/>
      <c r="E48" s="29"/>
      <c r="F48" s="45"/>
      <c r="G48" s="45"/>
      <c r="H48" s="29"/>
      <c r="I48" s="29"/>
      <c r="J48" s="45"/>
      <c r="K48" s="45"/>
      <c r="L48" s="29">
        <f t="shared" si="6"/>
        <v>8000</v>
      </c>
      <c r="M48" s="29">
        <f>1020+2040</f>
        <v>3060</v>
      </c>
      <c r="N48" s="29">
        <f t="shared" si="3"/>
        <v>4940</v>
      </c>
      <c r="O48" s="39">
        <f t="shared" si="7"/>
        <v>5.7532258675864591E-3</v>
      </c>
    </row>
    <row r="49" spans="1:15" ht="15.95" customHeight="1" x14ac:dyDescent="0.2">
      <c r="A49" s="42" t="s">
        <v>96</v>
      </c>
      <c r="B49" s="30" t="s">
        <v>161</v>
      </c>
      <c r="C49" s="29">
        <v>14250</v>
      </c>
      <c r="D49" s="29"/>
      <c r="E49" s="29"/>
      <c r="F49" s="45"/>
      <c r="G49" s="45"/>
      <c r="H49" s="29"/>
      <c r="I49" s="29"/>
      <c r="J49" s="45"/>
      <c r="K49" s="45"/>
      <c r="L49" s="29">
        <f t="shared" si="6"/>
        <v>14250</v>
      </c>
      <c r="M49" s="29">
        <f>18.9+13.5+13.5</f>
        <v>45.9</v>
      </c>
      <c r="N49" s="29">
        <f t="shared" si="3"/>
        <v>14204.1</v>
      </c>
      <c r="O49" s="39">
        <f t="shared" si="7"/>
        <v>8.6298388013796894E-5</v>
      </c>
    </row>
    <row r="50" spans="1:15" ht="15.95" customHeight="1" x14ac:dyDescent="0.2">
      <c r="A50" s="42" t="s">
        <v>97</v>
      </c>
      <c r="B50" s="30" t="s">
        <v>162</v>
      </c>
      <c r="C50" s="29">
        <v>673088.47</v>
      </c>
      <c r="D50" s="29"/>
      <c r="E50" s="29"/>
      <c r="F50" s="45"/>
      <c r="G50" s="45"/>
      <c r="H50" s="29"/>
      <c r="I50" s="29"/>
      <c r="J50" s="45"/>
      <c r="K50" s="45"/>
      <c r="L50" s="29">
        <f t="shared" si="6"/>
        <v>673088.47</v>
      </c>
      <c r="M50" s="29"/>
      <c r="N50" s="29">
        <f t="shared" si="3"/>
        <v>673088.47</v>
      </c>
      <c r="O50" s="39">
        <f t="shared" si="7"/>
        <v>0</v>
      </c>
    </row>
    <row r="51" spans="1:15" ht="15.95" customHeight="1" x14ac:dyDescent="0.2">
      <c r="A51" s="42" t="s">
        <v>98</v>
      </c>
      <c r="B51" s="30" t="s">
        <v>53</v>
      </c>
      <c r="C51" s="29">
        <v>563742.69999999995</v>
      </c>
      <c r="D51" s="29"/>
      <c r="E51" s="29"/>
      <c r="F51" s="45"/>
      <c r="G51" s="45"/>
      <c r="H51" s="29"/>
      <c r="I51" s="29"/>
      <c r="J51" s="45"/>
      <c r="K51" s="45"/>
      <c r="L51" s="29">
        <f t="shared" si="6"/>
        <v>563742.69999999995</v>
      </c>
      <c r="M51" s="29">
        <v>2894.44</v>
      </c>
      <c r="N51" s="29">
        <f t="shared" si="3"/>
        <v>560848.26</v>
      </c>
      <c r="O51" s="39">
        <f t="shared" si="7"/>
        <v>5.4419500262016182E-3</v>
      </c>
    </row>
    <row r="52" spans="1:15" ht="15.95" customHeight="1" x14ac:dyDescent="0.2">
      <c r="A52" s="42" t="s">
        <v>99</v>
      </c>
      <c r="B52" s="30" t="s">
        <v>163</v>
      </c>
      <c r="C52" s="29">
        <v>500985.37</v>
      </c>
      <c r="D52" s="29"/>
      <c r="E52" s="29"/>
      <c r="F52" s="45"/>
      <c r="G52" s="45"/>
      <c r="H52" s="29"/>
      <c r="I52" s="29"/>
      <c r="J52" s="45"/>
      <c r="K52" s="45"/>
      <c r="L52" s="29">
        <f t="shared" si="6"/>
        <v>500985.37</v>
      </c>
      <c r="M52" s="29">
        <v>29413.01</v>
      </c>
      <c r="N52" s="29">
        <f t="shared" si="3"/>
        <v>471572.36</v>
      </c>
      <c r="O52" s="39">
        <f t="shared" si="7"/>
        <v>5.5300552279601047E-2</v>
      </c>
    </row>
    <row r="53" spans="1:15" ht="15.95" customHeight="1" x14ac:dyDescent="0.2">
      <c r="A53" s="42" t="s">
        <v>100</v>
      </c>
      <c r="B53" s="30" t="s">
        <v>54</v>
      </c>
      <c r="C53" s="29">
        <v>225000</v>
      </c>
      <c r="D53" s="29"/>
      <c r="E53" s="29"/>
      <c r="F53" s="45"/>
      <c r="G53" s="45"/>
      <c r="H53" s="29"/>
      <c r="I53" s="29"/>
      <c r="J53" s="45"/>
      <c r="K53" s="45"/>
      <c r="L53" s="29">
        <f>C53+D53-E53+F53-G53+H53+J53-I53-K53</f>
        <v>225000</v>
      </c>
      <c r="M53" s="29"/>
      <c r="N53" s="29">
        <f t="shared" si="3"/>
        <v>225000</v>
      </c>
      <c r="O53" s="39">
        <f t="shared" si="7"/>
        <v>0</v>
      </c>
    </row>
    <row r="54" spans="1:15" ht="15.95" customHeight="1" x14ac:dyDescent="0.2">
      <c r="A54" s="42" t="s">
        <v>101</v>
      </c>
      <c r="B54" s="30" t="s">
        <v>55</v>
      </c>
      <c r="C54" s="29">
        <v>75000</v>
      </c>
      <c r="D54" s="29"/>
      <c r="E54" s="29"/>
      <c r="F54" s="45"/>
      <c r="G54" s="45"/>
      <c r="H54" s="29"/>
      <c r="I54" s="29"/>
      <c r="J54" s="45"/>
      <c r="K54" s="45"/>
      <c r="L54" s="29">
        <f>C54+D54-E54+F54-G54+H54+J54-I54-K54</f>
        <v>75000</v>
      </c>
      <c r="M54" s="29"/>
      <c r="N54" s="29">
        <f t="shared" si="3"/>
        <v>75000</v>
      </c>
      <c r="O54" s="39">
        <f t="shared" si="7"/>
        <v>0</v>
      </c>
    </row>
    <row r="55" spans="1:15" ht="15.95" customHeight="1" x14ac:dyDescent="0.2">
      <c r="A55" s="42">
        <v>151</v>
      </c>
      <c r="B55" s="30" t="s">
        <v>249</v>
      </c>
      <c r="C55" s="29">
        <v>90000</v>
      </c>
      <c r="D55" s="29"/>
      <c r="E55" s="29"/>
      <c r="F55" s="45"/>
      <c r="G55" s="45"/>
      <c r="H55" s="29"/>
      <c r="I55" s="29"/>
      <c r="J55" s="45"/>
      <c r="K55" s="45"/>
      <c r="L55" s="29">
        <f t="shared" si="6"/>
        <v>90000</v>
      </c>
      <c r="M55" s="29"/>
      <c r="N55" s="29">
        <f t="shared" si="3"/>
        <v>90000</v>
      </c>
      <c r="O55" s="39"/>
    </row>
    <row r="56" spans="1:15" ht="15.95" customHeight="1" x14ac:dyDescent="0.2">
      <c r="A56" s="42" t="s">
        <v>102</v>
      </c>
      <c r="B56" s="30" t="s">
        <v>56</v>
      </c>
      <c r="C56" s="29">
        <v>4400</v>
      </c>
      <c r="D56" s="29"/>
      <c r="E56" s="29"/>
      <c r="F56" s="45"/>
      <c r="G56" s="45"/>
      <c r="H56" s="29"/>
      <c r="I56" s="29"/>
      <c r="J56" s="45"/>
      <c r="K56" s="45"/>
      <c r="L56" s="29">
        <f t="shared" si="6"/>
        <v>4400</v>
      </c>
      <c r="M56" s="29"/>
      <c r="N56" s="29">
        <f t="shared" si="3"/>
        <v>4400</v>
      </c>
      <c r="O56" s="39">
        <f t="shared" ref="O56:O61" si="8">M56/$M$138</f>
        <v>0</v>
      </c>
    </row>
    <row r="57" spans="1:15" ht="15.95" customHeight="1" x14ac:dyDescent="0.2">
      <c r="A57" s="42" t="s">
        <v>103</v>
      </c>
      <c r="B57" s="30" t="s">
        <v>164</v>
      </c>
      <c r="C57" s="29">
        <v>3004.32</v>
      </c>
      <c r="D57" s="29"/>
      <c r="E57" s="29"/>
      <c r="F57" s="45"/>
      <c r="G57" s="45"/>
      <c r="H57" s="29"/>
      <c r="I57" s="29"/>
      <c r="J57" s="45"/>
      <c r="K57" s="45"/>
      <c r="L57" s="29">
        <f t="shared" si="6"/>
        <v>3004.32</v>
      </c>
      <c r="M57" s="29"/>
      <c r="N57" s="29">
        <f t="shared" si="3"/>
        <v>3004.32</v>
      </c>
      <c r="O57" s="39">
        <f t="shared" si="8"/>
        <v>0</v>
      </c>
    </row>
    <row r="58" spans="1:15" ht="15.95" customHeight="1" x14ac:dyDescent="0.2">
      <c r="A58" s="42" t="s">
        <v>104</v>
      </c>
      <c r="B58" s="30" t="s">
        <v>165</v>
      </c>
      <c r="C58" s="29">
        <v>7750</v>
      </c>
      <c r="D58" s="29"/>
      <c r="E58" s="29"/>
      <c r="F58" s="45"/>
      <c r="G58" s="45"/>
      <c r="H58" s="29"/>
      <c r="I58" s="29"/>
      <c r="J58" s="45"/>
      <c r="K58" s="45"/>
      <c r="L58" s="29">
        <f t="shared" si="6"/>
        <v>7750</v>
      </c>
      <c r="M58" s="29">
        <v>3600</v>
      </c>
      <c r="N58" s="29">
        <f t="shared" si="3"/>
        <v>4150</v>
      </c>
      <c r="O58" s="39">
        <f t="shared" si="8"/>
        <v>6.768501020689952E-3</v>
      </c>
    </row>
    <row r="59" spans="1:15" ht="15.95" customHeight="1" x14ac:dyDescent="0.2">
      <c r="A59" s="42" t="s">
        <v>105</v>
      </c>
      <c r="B59" s="30" t="s">
        <v>166</v>
      </c>
      <c r="C59" s="29">
        <v>7000</v>
      </c>
      <c r="D59" s="29"/>
      <c r="E59" s="29"/>
      <c r="F59" s="45"/>
      <c r="G59" s="45"/>
      <c r="H59" s="29"/>
      <c r="I59" s="29"/>
      <c r="J59" s="45"/>
      <c r="K59" s="45"/>
      <c r="L59" s="29">
        <f t="shared" si="6"/>
        <v>7000</v>
      </c>
      <c r="M59" s="29">
        <v>10354.57</v>
      </c>
      <c r="N59" s="29">
        <f t="shared" si="3"/>
        <v>-3354.5699999999997</v>
      </c>
      <c r="O59" s="39">
        <f t="shared" si="8"/>
        <v>1.9468032670501543E-2</v>
      </c>
    </row>
    <row r="60" spans="1:15" ht="15.95" customHeight="1" x14ac:dyDescent="0.2">
      <c r="A60" s="42" t="s">
        <v>106</v>
      </c>
      <c r="B60" s="30" t="s">
        <v>167</v>
      </c>
      <c r="C60" s="29">
        <v>14000</v>
      </c>
      <c r="D60" s="29"/>
      <c r="E60" s="29"/>
      <c r="F60" s="45"/>
      <c r="G60" s="45"/>
      <c r="H60" s="29"/>
      <c r="I60" s="29"/>
      <c r="J60" s="45"/>
      <c r="K60" s="45"/>
      <c r="L60" s="29">
        <f t="shared" si="6"/>
        <v>14000</v>
      </c>
      <c r="M60" s="29">
        <v>500</v>
      </c>
      <c r="N60" s="29">
        <f t="shared" si="3"/>
        <v>13500</v>
      </c>
      <c r="O60" s="39">
        <f t="shared" si="8"/>
        <v>9.4006958620693778E-4</v>
      </c>
    </row>
    <row r="61" spans="1:15" ht="15.95" hidden="1" customHeight="1" x14ac:dyDescent="0.2">
      <c r="A61" s="42" t="s">
        <v>107</v>
      </c>
      <c r="B61" s="30" t="s">
        <v>168</v>
      </c>
      <c r="C61" s="29">
        <v>0</v>
      </c>
      <c r="D61" s="29"/>
      <c r="E61" s="29"/>
      <c r="F61" s="45"/>
      <c r="G61" s="45"/>
      <c r="H61" s="29"/>
      <c r="I61" s="29"/>
      <c r="J61" s="45"/>
      <c r="K61" s="45"/>
      <c r="L61" s="29">
        <f t="shared" si="6"/>
        <v>0</v>
      </c>
      <c r="M61" s="29"/>
      <c r="N61" s="29">
        <f t="shared" si="3"/>
        <v>0</v>
      </c>
      <c r="O61" s="39">
        <f t="shared" si="8"/>
        <v>0</v>
      </c>
    </row>
    <row r="62" spans="1:15" ht="15.95" customHeight="1" x14ac:dyDescent="0.2">
      <c r="A62" s="42">
        <v>169</v>
      </c>
      <c r="B62" s="30" t="s">
        <v>239</v>
      </c>
      <c r="C62" s="29">
        <v>15000</v>
      </c>
      <c r="D62" s="29"/>
      <c r="E62" s="29"/>
      <c r="F62" s="45"/>
      <c r="G62" s="45"/>
      <c r="H62" s="29"/>
      <c r="I62" s="29"/>
      <c r="J62" s="45"/>
      <c r="K62" s="45"/>
      <c r="L62" s="29">
        <f t="shared" si="6"/>
        <v>15000</v>
      </c>
      <c r="M62" s="29"/>
      <c r="N62" s="29">
        <f t="shared" si="3"/>
        <v>15000</v>
      </c>
      <c r="O62" s="39"/>
    </row>
    <row r="63" spans="1:15" ht="15.95" customHeight="1" x14ac:dyDescent="0.2">
      <c r="A63" s="42">
        <v>171</v>
      </c>
      <c r="B63" s="30" t="s">
        <v>168</v>
      </c>
      <c r="C63" s="29">
        <v>115000</v>
      </c>
      <c r="D63" s="29"/>
      <c r="E63" s="29"/>
      <c r="F63" s="45"/>
      <c r="G63" s="45"/>
      <c r="H63" s="29"/>
      <c r="I63" s="29"/>
      <c r="J63" s="45"/>
      <c r="K63" s="45"/>
      <c r="L63" s="29">
        <f>C63+D63-E63+F63-G63+H63+J63-I63-K63</f>
        <v>115000</v>
      </c>
      <c r="M63" s="29"/>
      <c r="N63" s="29">
        <f t="shared" si="3"/>
        <v>115000</v>
      </c>
      <c r="O63" s="39"/>
    </row>
    <row r="64" spans="1:15" ht="15.95" customHeight="1" x14ac:dyDescent="0.2">
      <c r="A64" s="42" t="s">
        <v>108</v>
      </c>
      <c r="B64" s="30" t="s">
        <v>169</v>
      </c>
      <c r="C64" s="29">
        <v>30750</v>
      </c>
      <c r="D64" s="29"/>
      <c r="E64" s="29"/>
      <c r="F64" s="45"/>
      <c r="G64" s="45"/>
      <c r="H64" s="29"/>
      <c r="I64" s="29"/>
      <c r="J64" s="45"/>
      <c r="K64" s="45"/>
      <c r="L64" s="29">
        <f t="shared" si="6"/>
        <v>30750</v>
      </c>
      <c r="M64" s="29"/>
      <c r="N64" s="29">
        <f t="shared" si="3"/>
        <v>30750</v>
      </c>
      <c r="O64" s="39">
        <f t="shared" ref="O64:O79" si="9">M64/$M$138</f>
        <v>0</v>
      </c>
    </row>
    <row r="65" spans="1:15" ht="15.95" customHeight="1" x14ac:dyDescent="0.2">
      <c r="A65" s="42" t="s">
        <v>109</v>
      </c>
      <c r="B65" s="30" t="s">
        <v>170</v>
      </c>
      <c r="C65" s="29">
        <v>260706.83</v>
      </c>
      <c r="D65" s="29"/>
      <c r="E65" s="29"/>
      <c r="F65" s="45"/>
      <c r="G65" s="45"/>
      <c r="H65" s="29"/>
      <c r="I65" s="29"/>
      <c r="J65" s="45"/>
      <c r="K65" s="45"/>
      <c r="L65" s="29">
        <f t="shared" si="6"/>
        <v>260706.83</v>
      </c>
      <c r="M65" s="29"/>
      <c r="N65" s="29">
        <f t="shared" si="3"/>
        <v>260706.83</v>
      </c>
      <c r="O65" s="39">
        <f t="shared" si="9"/>
        <v>0</v>
      </c>
    </row>
    <row r="66" spans="1:15" ht="15.95" customHeight="1" x14ac:dyDescent="0.2">
      <c r="A66" s="42">
        <v>182</v>
      </c>
      <c r="B66" s="30" t="s">
        <v>237</v>
      </c>
      <c r="C66" s="29">
        <v>10000</v>
      </c>
      <c r="D66" s="29"/>
      <c r="E66" s="29"/>
      <c r="F66" s="45"/>
      <c r="G66" s="45"/>
      <c r="H66" s="29"/>
      <c r="I66" s="29"/>
      <c r="J66" s="45"/>
      <c r="K66" s="45"/>
      <c r="L66" s="29">
        <f t="shared" si="6"/>
        <v>10000</v>
      </c>
      <c r="M66" s="29"/>
      <c r="N66" s="29">
        <f t="shared" si="3"/>
        <v>10000</v>
      </c>
      <c r="O66" s="39">
        <f t="shared" si="9"/>
        <v>0</v>
      </c>
    </row>
    <row r="67" spans="1:15" ht="15.95" customHeight="1" x14ac:dyDescent="0.2">
      <c r="A67" s="42" t="s">
        <v>110</v>
      </c>
      <c r="B67" s="30" t="s">
        <v>171</v>
      </c>
      <c r="C67" s="29">
        <v>54000</v>
      </c>
      <c r="D67" s="29"/>
      <c r="E67" s="29"/>
      <c r="F67" s="45"/>
      <c r="G67" s="45"/>
      <c r="H67" s="29"/>
      <c r="I67" s="29"/>
      <c r="J67" s="45"/>
      <c r="K67" s="45"/>
      <c r="L67" s="29">
        <f t="shared" si="6"/>
        <v>54000</v>
      </c>
      <c r="M67" s="29">
        <f>4500+4500+4500</f>
        <v>13500</v>
      </c>
      <c r="N67" s="29">
        <f t="shared" si="3"/>
        <v>40500</v>
      </c>
      <c r="O67" s="39">
        <f t="shared" si="9"/>
        <v>2.5381878827587322E-2</v>
      </c>
    </row>
    <row r="68" spans="1:15" ht="15.95" customHeight="1" x14ac:dyDescent="0.2">
      <c r="A68" s="42" t="s">
        <v>111</v>
      </c>
      <c r="B68" s="30" t="s">
        <v>172</v>
      </c>
      <c r="C68" s="29">
        <v>54000</v>
      </c>
      <c r="D68" s="29"/>
      <c r="E68" s="29"/>
      <c r="F68" s="45"/>
      <c r="G68" s="45"/>
      <c r="H68" s="29"/>
      <c r="I68" s="29"/>
      <c r="J68" s="45"/>
      <c r="K68" s="45"/>
      <c r="L68" s="29">
        <f t="shared" si="6"/>
        <v>54000</v>
      </c>
      <c r="M68" s="29">
        <f>4500+4500+4500</f>
        <v>13500</v>
      </c>
      <c r="N68" s="29">
        <f t="shared" si="3"/>
        <v>40500</v>
      </c>
      <c r="O68" s="39">
        <f t="shared" si="9"/>
        <v>2.5381878827587322E-2</v>
      </c>
    </row>
    <row r="69" spans="1:15" ht="15.95" customHeight="1" x14ac:dyDescent="0.2">
      <c r="A69" s="42" t="s">
        <v>112</v>
      </c>
      <c r="B69" s="30" t="s">
        <v>57</v>
      </c>
      <c r="C69" s="29">
        <v>7500</v>
      </c>
      <c r="D69" s="29"/>
      <c r="E69" s="29"/>
      <c r="F69" s="45"/>
      <c r="G69" s="45"/>
      <c r="H69" s="29"/>
      <c r="I69" s="29"/>
      <c r="J69" s="45"/>
      <c r="K69" s="45"/>
      <c r="L69" s="29">
        <f t="shared" si="6"/>
        <v>7500</v>
      </c>
      <c r="M69" s="29"/>
      <c r="N69" s="29">
        <f t="shared" si="3"/>
        <v>7500</v>
      </c>
      <c r="O69" s="39">
        <f t="shared" si="9"/>
        <v>0</v>
      </c>
    </row>
    <row r="70" spans="1:15" ht="15.95" customHeight="1" x14ac:dyDescent="0.2">
      <c r="A70" s="42" t="s">
        <v>113</v>
      </c>
      <c r="B70" s="30" t="s">
        <v>173</v>
      </c>
      <c r="C70" s="29">
        <v>24540</v>
      </c>
      <c r="D70" s="29"/>
      <c r="E70" s="29"/>
      <c r="F70" s="45"/>
      <c r="G70" s="45"/>
      <c r="H70" s="29"/>
      <c r="I70" s="29"/>
      <c r="J70" s="45"/>
      <c r="K70" s="45"/>
      <c r="L70" s="29">
        <f t="shared" si="6"/>
        <v>24540</v>
      </c>
      <c r="M70" s="29"/>
      <c r="N70" s="29">
        <f t="shared" si="3"/>
        <v>24540</v>
      </c>
      <c r="O70" s="39">
        <f t="shared" si="9"/>
        <v>0</v>
      </c>
    </row>
    <row r="71" spans="1:15" ht="15.95" customHeight="1" x14ac:dyDescent="0.2">
      <c r="A71" s="42" t="s">
        <v>114</v>
      </c>
      <c r="B71" s="30" t="s">
        <v>174</v>
      </c>
      <c r="C71" s="29">
        <v>863300</v>
      </c>
      <c r="D71" s="29"/>
      <c r="E71" s="29"/>
      <c r="F71" s="45"/>
      <c r="G71" s="45"/>
      <c r="H71" s="29"/>
      <c r="I71" s="29"/>
      <c r="J71" s="45"/>
      <c r="K71" s="45"/>
      <c r="L71" s="29">
        <f t="shared" si="6"/>
        <v>863300</v>
      </c>
      <c r="M71" s="29">
        <f>1500+70267.86</f>
        <v>71767.86</v>
      </c>
      <c r="N71" s="29">
        <f t="shared" si="3"/>
        <v>791532.14</v>
      </c>
      <c r="O71" s="39">
        <f t="shared" si="9"/>
        <v>0.13493356490631489</v>
      </c>
    </row>
    <row r="72" spans="1:15" ht="15.95" customHeight="1" x14ac:dyDescent="0.2">
      <c r="A72" s="42" t="s">
        <v>115</v>
      </c>
      <c r="B72" s="30" t="s">
        <v>175</v>
      </c>
      <c r="C72" s="29">
        <v>8000</v>
      </c>
      <c r="D72" s="29"/>
      <c r="E72" s="29"/>
      <c r="F72" s="45"/>
      <c r="G72" s="45"/>
      <c r="H72" s="29"/>
      <c r="I72" s="29"/>
      <c r="J72" s="45"/>
      <c r="K72" s="45"/>
      <c r="L72" s="29">
        <f t="shared" si="6"/>
        <v>8000</v>
      </c>
      <c r="M72" s="29"/>
      <c r="N72" s="29">
        <f t="shared" si="3"/>
        <v>8000</v>
      </c>
      <c r="O72" s="39">
        <f t="shared" si="9"/>
        <v>0</v>
      </c>
    </row>
    <row r="73" spans="1:15" ht="15.95" customHeight="1" x14ac:dyDescent="0.2">
      <c r="A73" s="42" t="s">
        <v>116</v>
      </c>
      <c r="B73" s="30" t="s">
        <v>58</v>
      </c>
      <c r="C73" s="29">
        <v>176000</v>
      </c>
      <c r="D73" s="29"/>
      <c r="E73" s="29"/>
      <c r="F73" s="45"/>
      <c r="G73" s="45"/>
      <c r="H73" s="29"/>
      <c r="I73" s="29"/>
      <c r="J73" s="45"/>
      <c r="K73" s="45"/>
      <c r="L73" s="29">
        <f>C73+D73-E73+F73-G73+H73+J73-I73-K73</f>
        <v>176000</v>
      </c>
      <c r="M73" s="29"/>
      <c r="N73" s="29">
        <f t="shared" si="3"/>
        <v>176000</v>
      </c>
      <c r="O73" s="39">
        <f t="shared" si="9"/>
        <v>0</v>
      </c>
    </row>
    <row r="74" spans="1:15" ht="15.95" customHeight="1" x14ac:dyDescent="0.2">
      <c r="A74" s="42" t="s">
        <v>117</v>
      </c>
      <c r="B74" s="30" t="s">
        <v>176</v>
      </c>
      <c r="C74" s="29">
        <v>8250</v>
      </c>
      <c r="D74" s="29"/>
      <c r="E74" s="29"/>
      <c r="F74" s="45"/>
      <c r="G74" s="45"/>
      <c r="H74" s="29"/>
      <c r="I74" s="29"/>
      <c r="J74" s="45"/>
      <c r="K74" s="45"/>
      <c r="L74" s="29">
        <f t="shared" si="6"/>
        <v>8250</v>
      </c>
      <c r="M74" s="29"/>
      <c r="N74" s="29">
        <f t="shared" si="3"/>
        <v>8250</v>
      </c>
      <c r="O74" s="39">
        <f t="shared" si="9"/>
        <v>0</v>
      </c>
    </row>
    <row r="75" spans="1:15" ht="15.95" customHeight="1" x14ac:dyDescent="0.2">
      <c r="A75" s="42" t="s">
        <v>118</v>
      </c>
      <c r="B75" s="30" t="s">
        <v>177</v>
      </c>
      <c r="C75" s="29">
        <v>2500</v>
      </c>
      <c r="D75" s="29"/>
      <c r="E75" s="29"/>
      <c r="F75" s="45"/>
      <c r="G75" s="45"/>
      <c r="H75" s="29"/>
      <c r="I75" s="29"/>
      <c r="J75" s="45"/>
      <c r="K75" s="45"/>
      <c r="L75" s="29">
        <f t="shared" si="6"/>
        <v>2500</v>
      </c>
      <c r="M75" s="29">
        <f>50.36+50.33+106.36</f>
        <v>207.05</v>
      </c>
      <c r="N75" s="29">
        <f t="shared" si="3"/>
        <v>2292.9499999999998</v>
      </c>
      <c r="O75" s="39">
        <f t="shared" si="9"/>
        <v>3.8928281564829296E-4</v>
      </c>
    </row>
    <row r="76" spans="1:15" ht="15.95" customHeight="1" x14ac:dyDescent="0.2">
      <c r="A76" s="42" t="s">
        <v>119</v>
      </c>
      <c r="B76" s="30" t="s">
        <v>59</v>
      </c>
      <c r="C76" s="29">
        <v>125000</v>
      </c>
      <c r="D76" s="29"/>
      <c r="E76" s="29"/>
      <c r="F76" s="45"/>
      <c r="G76" s="45"/>
      <c r="H76" s="29"/>
      <c r="I76" s="29"/>
      <c r="J76" s="45"/>
      <c r="K76" s="45"/>
      <c r="L76" s="29">
        <f t="shared" si="6"/>
        <v>125000</v>
      </c>
      <c r="M76" s="29">
        <f>35.1+230.2</f>
        <v>265.3</v>
      </c>
      <c r="N76" s="29">
        <f t="shared" si="3"/>
        <v>124734.7</v>
      </c>
      <c r="O76" s="39">
        <f t="shared" si="9"/>
        <v>4.9880092244140124E-4</v>
      </c>
    </row>
    <row r="77" spans="1:15" ht="15.95" customHeight="1" x14ac:dyDescent="0.2">
      <c r="A77" s="42" t="s">
        <v>120</v>
      </c>
      <c r="B77" s="30" t="s">
        <v>178</v>
      </c>
      <c r="C77" s="29">
        <v>50000</v>
      </c>
      <c r="D77" s="29"/>
      <c r="E77" s="29"/>
      <c r="F77" s="45"/>
      <c r="G77" s="45"/>
      <c r="H77" s="29"/>
      <c r="I77" s="29"/>
      <c r="J77" s="45"/>
      <c r="K77" s="45"/>
      <c r="L77" s="29">
        <f t="shared" ref="L77:L78" si="10">C77+D77-E77+F77-G77+H77+J77-I77-K77</f>
        <v>50000</v>
      </c>
      <c r="M77" s="29"/>
      <c r="N77" s="29">
        <f t="shared" si="3"/>
        <v>50000</v>
      </c>
      <c r="O77" s="39">
        <f t="shared" si="9"/>
        <v>0</v>
      </c>
    </row>
    <row r="78" spans="1:15" ht="15.95" customHeight="1" x14ac:dyDescent="0.2">
      <c r="A78" s="42" t="s">
        <v>179</v>
      </c>
      <c r="B78" s="30" t="s">
        <v>152</v>
      </c>
      <c r="C78" s="29">
        <v>46100</v>
      </c>
      <c r="D78" s="29"/>
      <c r="E78" s="29"/>
      <c r="F78" s="45"/>
      <c r="G78" s="45"/>
      <c r="H78" s="29"/>
      <c r="I78" s="29"/>
      <c r="J78" s="45"/>
      <c r="K78" s="45"/>
      <c r="L78" s="29">
        <f t="shared" si="10"/>
        <v>46100</v>
      </c>
      <c r="M78" s="29"/>
      <c r="N78" s="29">
        <f t="shared" si="3"/>
        <v>46100</v>
      </c>
      <c r="O78" s="39">
        <f t="shared" si="9"/>
        <v>0</v>
      </c>
    </row>
    <row r="79" spans="1:15" ht="15.95" customHeight="1" x14ac:dyDescent="0.2">
      <c r="A79" s="42" t="s">
        <v>121</v>
      </c>
      <c r="B79" s="30" t="s">
        <v>180</v>
      </c>
      <c r="C79" s="29">
        <v>51000</v>
      </c>
      <c r="D79" s="29"/>
      <c r="E79" s="29"/>
      <c r="F79" s="45"/>
      <c r="G79" s="45"/>
      <c r="H79" s="29"/>
      <c r="I79" s="29"/>
      <c r="J79" s="45"/>
      <c r="K79" s="45"/>
      <c r="L79" s="29">
        <f t="shared" si="6"/>
        <v>51000</v>
      </c>
      <c r="M79" s="29">
        <f>55+100.4</f>
        <v>155.4</v>
      </c>
      <c r="N79" s="29">
        <f t="shared" si="3"/>
        <v>50844.6</v>
      </c>
      <c r="O79" s="39">
        <f t="shared" si="9"/>
        <v>2.9217362739311626E-4</v>
      </c>
    </row>
    <row r="80" spans="1:15" ht="15.95" customHeight="1" x14ac:dyDescent="0.2">
      <c r="A80" s="42"/>
      <c r="B80" s="30"/>
      <c r="C80" s="29"/>
      <c r="D80" s="29"/>
      <c r="E80" s="29"/>
      <c r="F80" s="45"/>
      <c r="G80" s="45"/>
      <c r="H80" s="29"/>
      <c r="I80" s="29"/>
      <c r="J80" s="45"/>
      <c r="K80" s="45"/>
      <c r="L80" s="29"/>
      <c r="M80" s="29"/>
      <c r="N80" s="29"/>
      <c r="O80" s="39"/>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5">
      <c r="A82" s="40">
        <v>2</v>
      </c>
      <c r="B82" s="41" t="s">
        <v>60</v>
      </c>
      <c r="C82" s="27"/>
      <c r="D82" s="29"/>
      <c r="E82" s="29"/>
      <c r="F82" s="45"/>
      <c r="G82" s="45"/>
      <c r="H82" s="29"/>
      <c r="I82" s="29"/>
      <c r="J82" s="45"/>
      <c r="K82" s="45"/>
      <c r="L82" s="29"/>
      <c r="M82" s="29"/>
      <c r="N82" s="29"/>
      <c r="O82" s="39"/>
    </row>
    <row r="83" spans="1:15" ht="15.95" customHeight="1" x14ac:dyDescent="0.2">
      <c r="A83" s="42" t="s">
        <v>122</v>
      </c>
      <c r="B83" s="30" t="s">
        <v>61</v>
      </c>
      <c r="C83" s="29">
        <v>146784.1</v>
      </c>
      <c r="D83" s="29"/>
      <c r="E83" s="29"/>
      <c r="F83" s="45"/>
      <c r="G83" s="45"/>
      <c r="H83" s="29"/>
      <c r="I83" s="29"/>
      <c r="J83" s="45"/>
      <c r="K83" s="45"/>
      <c r="L83" s="29">
        <f t="shared" ref="L83:L119" si="11">C83+D83-E83+F83-G83+H83+J83-K83</f>
        <v>146784.1</v>
      </c>
      <c r="M83" s="29">
        <f>1296.25+4358.7+1692.8</f>
        <v>7347.75</v>
      </c>
      <c r="N83" s="29">
        <f t="shared" si="3"/>
        <v>139436.35</v>
      </c>
      <c r="O83" s="39">
        <f t="shared" ref="O83:O119" si="12">M83/$M$138</f>
        <v>1.3814792604104054E-2</v>
      </c>
    </row>
    <row r="84" spans="1:15" ht="15.95" hidden="1" customHeight="1" x14ac:dyDescent="0.2">
      <c r="A84" s="42">
        <v>214</v>
      </c>
      <c r="B84" s="30" t="s">
        <v>192</v>
      </c>
      <c r="C84" s="29">
        <v>0</v>
      </c>
      <c r="D84" s="29"/>
      <c r="E84" s="29"/>
      <c r="F84" s="45"/>
      <c r="G84" s="45"/>
      <c r="H84" s="29"/>
      <c r="I84" s="29"/>
      <c r="J84" s="45"/>
      <c r="K84" s="45"/>
      <c r="L84" s="29">
        <f t="shared" si="11"/>
        <v>0</v>
      </c>
      <c r="M84" s="29"/>
      <c r="N84" s="29">
        <f t="shared" si="3"/>
        <v>0</v>
      </c>
      <c r="O84" s="39">
        <f t="shared" si="12"/>
        <v>0</v>
      </c>
    </row>
    <row r="85" spans="1:15" ht="15.95" customHeight="1" x14ac:dyDescent="0.2">
      <c r="A85" s="42">
        <v>223</v>
      </c>
      <c r="B85" s="30" t="s">
        <v>193</v>
      </c>
      <c r="C85" s="29">
        <v>2000</v>
      </c>
      <c r="D85" s="29"/>
      <c r="E85" s="29"/>
      <c r="F85" s="45"/>
      <c r="G85" s="45"/>
      <c r="H85" s="29"/>
      <c r="I85" s="29"/>
      <c r="J85" s="45"/>
      <c r="K85" s="45"/>
      <c r="L85" s="29">
        <f t="shared" si="11"/>
        <v>2000</v>
      </c>
      <c r="M85" s="29"/>
      <c r="N85" s="29">
        <f t="shared" si="3"/>
        <v>2000</v>
      </c>
      <c r="O85" s="39">
        <f t="shared" si="12"/>
        <v>0</v>
      </c>
    </row>
    <row r="86" spans="1:15" ht="15.95" hidden="1" customHeight="1" x14ac:dyDescent="0.2">
      <c r="A86" s="42">
        <v>229</v>
      </c>
      <c r="B86" s="30" t="s">
        <v>194</v>
      </c>
      <c r="C86" s="29">
        <v>0</v>
      </c>
      <c r="D86" s="29"/>
      <c r="E86" s="29"/>
      <c r="F86" s="45"/>
      <c r="G86" s="45"/>
      <c r="H86" s="29"/>
      <c r="I86" s="29"/>
      <c r="J86" s="45"/>
      <c r="K86" s="45"/>
      <c r="L86" s="29">
        <f t="shared" si="11"/>
        <v>0</v>
      </c>
      <c r="M86" s="29"/>
      <c r="N86" s="29">
        <f t="shared" si="3"/>
        <v>0</v>
      </c>
      <c r="O86" s="39">
        <f t="shared" si="12"/>
        <v>0</v>
      </c>
    </row>
    <row r="87" spans="1:15" ht="15.95" customHeight="1" x14ac:dyDescent="0.2">
      <c r="A87" s="42" t="s">
        <v>123</v>
      </c>
      <c r="B87" s="30" t="s">
        <v>62</v>
      </c>
      <c r="C87" s="29">
        <v>5000</v>
      </c>
      <c r="D87" s="29"/>
      <c r="E87" s="29"/>
      <c r="F87" s="45"/>
      <c r="G87" s="45"/>
      <c r="H87" s="29"/>
      <c r="I87" s="29"/>
      <c r="J87" s="45"/>
      <c r="K87" s="45"/>
      <c r="L87" s="29">
        <f t="shared" si="11"/>
        <v>5000</v>
      </c>
      <c r="M87" s="29"/>
      <c r="N87" s="29">
        <f t="shared" si="3"/>
        <v>5000</v>
      </c>
      <c r="O87" s="39">
        <f t="shared" si="12"/>
        <v>0</v>
      </c>
    </row>
    <row r="88" spans="1:15" ht="15.95" customHeight="1" x14ac:dyDescent="0.2">
      <c r="A88" s="42" t="s">
        <v>124</v>
      </c>
      <c r="B88" s="30" t="s">
        <v>63</v>
      </c>
      <c r="C88" s="29">
        <v>33800</v>
      </c>
      <c r="D88" s="29"/>
      <c r="E88" s="29"/>
      <c r="F88" s="45"/>
      <c r="G88" s="45"/>
      <c r="H88" s="29"/>
      <c r="I88" s="29"/>
      <c r="J88" s="45"/>
      <c r="K88" s="45"/>
      <c r="L88" s="29">
        <f t="shared" si="11"/>
        <v>33800</v>
      </c>
      <c r="M88" s="29"/>
      <c r="N88" s="29">
        <f t="shared" si="3"/>
        <v>33800</v>
      </c>
      <c r="O88" s="39">
        <f t="shared" si="12"/>
        <v>0</v>
      </c>
    </row>
    <row r="89" spans="1:15" ht="15.95" customHeight="1" x14ac:dyDescent="0.2">
      <c r="A89" s="42" t="s">
        <v>125</v>
      </c>
      <c r="B89" s="30" t="s">
        <v>64</v>
      </c>
      <c r="C89" s="29">
        <v>5250</v>
      </c>
      <c r="D89" s="29"/>
      <c r="E89" s="29"/>
      <c r="F89" s="45"/>
      <c r="G89" s="45"/>
      <c r="H89" s="29"/>
      <c r="I89" s="29"/>
      <c r="J89" s="45"/>
      <c r="K89" s="45"/>
      <c r="L89" s="29">
        <f t="shared" ref="L89" si="13">C89+D89-E89+F89-G89+H89+J89-I89-K89</f>
        <v>5250</v>
      </c>
      <c r="M89" s="29">
        <f>485+485</f>
        <v>970</v>
      </c>
      <c r="N89" s="29">
        <f t="shared" si="3"/>
        <v>4280</v>
      </c>
      <c r="O89" s="39">
        <f t="shared" si="12"/>
        <v>1.8237349972414594E-3</v>
      </c>
    </row>
    <row r="90" spans="1:15" ht="15.95" customHeight="1" x14ac:dyDescent="0.2">
      <c r="A90" s="42" t="s">
        <v>126</v>
      </c>
      <c r="B90" s="30" t="s">
        <v>65</v>
      </c>
      <c r="C90" s="29">
        <v>10500</v>
      </c>
      <c r="D90" s="29"/>
      <c r="E90" s="29"/>
      <c r="F90" s="45"/>
      <c r="G90" s="45"/>
      <c r="H90" s="29"/>
      <c r="I90" s="29"/>
      <c r="J90" s="45"/>
      <c r="K90" s="45"/>
      <c r="L90" s="29">
        <f t="shared" si="11"/>
        <v>10500</v>
      </c>
      <c r="M90" s="29">
        <f>906.45+36+1516.82</f>
        <v>2459.27</v>
      </c>
      <c r="N90" s="29">
        <f t="shared" si="3"/>
        <v>8040.73</v>
      </c>
      <c r="O90" s="39">
        <f t="shared" si="12"/>
        <v>4.6237698625422718E-3</v>
      </c>
    </row>
    <row r="91" spans="1:15" ht="15.95" customHeight="1" x14ac:dyDescent="0.2">
      <c r="A91" s="42" t="s">
        <v>127</v>
      </c>
      <c r="B91" s="30" t="s">
        <v>195</v>
      </c>
      <c r="C91" s="29">
        <v>3050</v>
      </c>
      <c r="D91" s="29"/>
      <c r="E91" s="29"/>
      <c r="F91" s="45"/>
      <c r="G91" s="45"/>
      <c r="H91" s="29"/>
      <c r="I91" s="29"/>
      <c r="J91" s="45"/>
      <c r="K91" s="45"/>
      <c r="L91" s="29">
        <f t="shared" ref="L91" si="14">C91+D91-E91+F91-G91+H91+J91-I91-K91</f>
        <v>3050</v>
      </c>
      <c r="M91" s="29">
        <f>660.7+141.3+103</f>
        <v>905</v>
      </c>
      <c r="N91" s="29">
        <f t="shared" si="3"/>
        <v>2145</v>
      </c>
      <c r="O91" s="39">
        <f t="shared" si="12"/>
        <v>1.7015259510345575E-3</v>
      </c>
    </row>
    <row r="92" spans="1:15" ht="15.95" customHeight="1" x14ac:dyDescent="0.2">
      <c r="A92" s="42" t="s">
        <v>128</v>
      </c>
      <c r="B92" s="30" t="s">
        <v>66</v>
      </c>
      <c r="C92" s="29">
        <v>875</v>
      </c>
      <c r="D92" s="29"/>
      <c r="E92" s="29"/>
      <c r="F92" s="45"/>
      <c r="G92" s="45"/>
      <c r="H92" s="29"/>
      <c r="I92" s="29"/>
      <c r="J92" s="45"/>
      <c r="K92" s="45"/>
      <c r="L92" s="29">
        <f t="shared" si="11"/>
        <v>875</v>
      </c>
      <c r="M92" s="29"/>
      <c r="N92" s="29">
        <f t="shared" si="3"/>
        <v>875</v>
      </c>
      <c r="O92" s="39">
        <f t="shared" si="12"/>
        <v>0</v>
      </c>
    </row>
    <row r="93" spans="1:15" ht="15.95" customHeight="1" x14ac:dyDescent="0.2">
      <c r="A93" s="42" t="s">
        <v>129</v>
      </c>
      <c r="B93" s="30" t="s">
        <v>196</v>
      </c>
      <c r="C93" s="29">
        <v>5500</v>
      </c>
      <c r="D93" s="29"/>
      <c r="E93" s="29"/>
      <c r="F93" s="45"/>
      <c r="G93" s="45"/>
      <c r="H93" s="29"/>
      <c r="I93" s="29"/>
      <c r="J93" s="45"/>
      <c r="K93" s="45"/>
      <c r="L93" s="29">
        <f t="shared" si="11"/>
        <v>5500</v>
      </c>
      <c r="M93" s="29"/>
      <c r="N93" s="29">
        <f t="shared" si="3"/>
        <v>5500</v>
      </c>
      <c r="O93" s="39">
        <f t="shared" si="12"/>
        <v>0</v>
      </c>
    </row>
    <row r="94" spans="1:15" ht="15.95" customHeight="1" x14ac:dyDescent="0.2">
      <c r="A94" s="42" t="s">
        <v>130</v>
      </c>
      <c r="B94" s="30" t="s">
        <v>67</v>
      </c>
      <c r="C94" s="29">
        <v>2700</v>
      </c>
      <c r="D94" s="29"/>
      <c r="E94" s="29"/>
      <c r="F94" s="45"/>
      <c r="G94" s="45"/>
      <c r="H94" s="29"/>
      <c r="I94" s="29"/>
      <c r="J94" s="45"/>
      <c r="K94" s="45"/>
      <c r="L94" s="29">
        <f t="shared" si="11"/>
        <v>2700</v>
      </c>
      <c r="M94" s="29"/>
      <c r="N94" s="29">
        <f t="shared" si="3"/>
        <v>2700</v>
      </c>
      <c r="O94" s="39">
        <f t="shared" si="12"/>
        <v>0</v>
      </c>
    </row>
    <row r="95" spans="1:15" ht="15.95" customHeight="1" x14ac:dyDescent="0.2">
      <c r="A95" s="42" t="s">
        <v>197</v>
      </c>
      <c r="B95" s="30" t="s">
        <v>198</v>
      </c>
      <c r="C95" s="29">
        <v>2800</v>
      </c>
      <c r="D95" s="29"/>
      <c r="E95" s="29"/>
      <c r="F95" s="45"/>
      <c r="G95" s="45"/>
      <c r="H95" s="29"/>
      <c r="I95" s="29"/>
      <c r="J95" s="45"/>
      <c r="K95" s="45"/>
      <c r="L95" s="29">
        <f t="shared" si="11"/>
        <v>2800</v>
      </c>
      <c r="M95" s="29"/>
      <c r="N95" s="29">
        <f t="shared" si="3"/>
        <v>2800</v>
      </c>
      <c r="O95" s="39">
        <f t="shared" si="12"/>
        <v>0</v>
      </c>
    </row>
    <row r="96" spans="1:15" ht="15.95" customHeight="1" x14ac:dyDescent="0.2">
      <c r="A96" s="42" t="s">
        <v>131</v>
      </c>
      <c r="B96" s="30" t="s">
        <v>68</v>
      </c>
      <c r="C96" s="29">
        <v>8500</v>
      </c>
      <c r="D96" s="29"/>
      <c r="E96" s="29"/>
      <c r="F96" s="45"/>
      <c r="G96" s="45"/>
      <c r="H96" s="29"/>
      <c r="I96" s="29"/>
      <c r="J96" s="45"/>
      <c r="K96" s="45"/>
      <c r="L96" s="29">
        <f t="shared" si="11"/>
        <v>8500</v>
      </c>
      <c r="M96" s="29">
        <f>270+340.02+1364.45</f>
        <v>1974.47</v>
      </c>
      <c r="N96" s="29">
        <f t="shared" si="3"/>
        <v>6525.53</v>
      </c>
      <c r="O96" s="39">
        <f t="shared" si="12"/>
        <v>3.712278391756025E-3</v>
      </c>
    </row>
    <row r="97" spans="1:15" ht="15.95" customHeight="1" x14ac:dyDescent="0.2">
      <c r="A97" s="42" t="s">
        <v>132</v>
      </c>
      <c r="B97" s="30" t="s">
        <v>199</v>
      </c>
      <c r="C97" s="29">
        <v>6000</v>
      </c>
      <c r="D97" s="29"/>
      <c r="E97" s="29"/>
      <c r="F97" s="45"/>
      <c r="G97" s="45"/>
      <c r="H97" s="29"/>
      <c r="I97" s="29"/>
      <c r="J97" s="45"/>
      <c r="K97" s="45"/>
      <c r="L97" s="29">
        <f t="shared" si="11"/>
        <v>6000</v>
      </c>
      <c r="M97" s="29"/>
      <c r="N97" s="29">
        <f t="shared" si="3"/>
        <v>6000</v>
      </c>
      <c r="O97" s="39">
        <f t="shared" si="12"/>
        <v>0</v>
      </c>
    </row>
    <row r="98" spans="1:15" ht="15.95" customHeight="1" x14ac:dyDescent="0.2">
      <c r="A98" s="42" t="s">
        <v>133</v>
      </c>
      <c r="B98" s="30" t="s">
        <v>69</v>
      </c>
      <c r="C98" s="29">
        <v>17500</v>
      </c>
      <c r="D98" s="29"/>
      <c r="E98" s="29"/>
      <c r="F98" s="45"/>
      <c r="G98" s="45"/>
      <c r="H98" s="29"/>
      <c r="I98" s="29"/>
      <c r="J98" s="45"/>
      <c r="K98" s="45"/>
      <c r="L98" s="29">
        <f t="shared" si="11"/>
        <v>17500</v>
      </c>
      <c r="M98" s="29">
        <f>862.5+340+218.4</f>
        <v>1420.9</v>
      </c>
      <c r="N98" s="29">
        <f t="shared" si="3"/>
        <v>16079.1</v>
      </c>
      <c r="O98" s="39">
        <f t="shared" si="12"/>
        <v>2.671489750082876E-3</v>
      </c>
    </row>
    <row r="99" spans="1:15" ht="15.95" customHeight="1" x14ac:dyDescent="0.2">
      <c r="A99" s="42" t="s">
        <v>134</v>
      </c>
      <c r="B99" s="30" t="s">
        <v>200</v>
      </c>
      <c r="C99" s="29">
        <v>3000</v>
      </c>
      <c r="D99" s="29"/>
      <c r="E99" s="29"/>
      <c r="F99" s="45"/>
      <c r="G99" s="45"/>
      <c r="H99" s="29"/>
      <c r="I99" s="29"/>
      <c r="J99" s="45"/>
      <c r="K99" s="45"/>
      <c r="L99" s="29">
        <f t="shared" si="11"/>
        <v>3000</v>
      </c>
      <c r="M99" s="29">
        <f>67.75+182.63</f>
        <v>250.38</v>
      </c>
      <c r="N99" s="29">
        <f t="shared" si="3"/>
        <v>2749.62</v>
      </c>
      <c r="O99" s="39">
        <f t="shared" si="12"/>
        <v>4.7074924598898614E-4</v>
      </c>
    </row>
    <row r="100" spans="1:15" ht="15.95" customHeight="1" x14ac:dyDescent="0.2">
      <c r="A100" s="42" t="s">
        <v>135</v>
      </c>
      <c r="B100" s="30" t="s">
        <v>201</v>
      </c>
      <c r="C100" s="29">
        <v>1500</v>
      </c>
      <c r="D100" s="29"/>
      <c r="E100" s="29"/>
      <c r="F100" s="45"/>
      <c r="G100" s="45"/>
      <c r="H100" s="29"/>
      <c r="I100" s="29"/>
      <c r="J100" s="45"/>
      <c r="K100" s="45"/>
      <c r="L100" s="29">
        <f t="shared" si="11"/>
        <v>1500</v>
      </c>
      <c r="M100" s="29"/>
      <c r="N100" s="29">
        <f t="shared" ref="N100:N137" si="15">L100-M100</f>
        <v>1500</v>
      </c>
      <c r="O100" s="39">
        <f t="shared" si="12"/>
        <v>0</v>
      </c>
    </row>
    <row r="101" spans="1:15" ht="15.95" customHeight="1" x14ac:dyDescent="0.2">
      <c r="A101" s="42" t="s">
        <v>136</v>
      </c>
      <c r="B101" s="30" t="s">
        <v>70</v>
      </c>
      <c r="C101" s="29">
        <v>331653.08</v>
      </c>
      <c r="D101" s="29"/>
      <c r="E101" s="29"/>
      <c r="F101" s="45"/>
      <c r="G101" s="45"/>
      <c r="H101" s="29"/>
      <c r="I101" s="29"/>
      <c r="J101" s="45"/>
      <c r="K101" s="45"/>
      <c r="L101" s="29">
        <f t="shared" si="11"/>
        <v>331653.08</v>
      </c>
      <c r="M101" s="29"/>
      <c r="N101" s="29">
        <f t="shared" si="15"/>
        <v>331653.08</v>
      </c>
      <c r="O101" s="39">
        <f t="shared" si="12"/>
        <v>0</v>
      </c>
    </row>
    <row r="102" spans="1:15" ht="15.95" hidden="1" customHeight="1" x14ac:dyDescent="0.2">
      <c r="A102" s="42">
        <v>272</v>
      </c>
      <c r="B102" s="30" t="s">
        <v>202</v>
      </c>
      <c r="C102" s="29">
        <v>0</v>
      </c>
      <c r="D102" s="29"/>
      <c r="E102" s="29"/>
      <c r="F102" s="45"/>
      <c r="G102" s="45"/>
      <c r="H102" s="29"/>
      <c r="I102" s="29"/>
      <c r="J102" s="45"/>
      <c r="K102" s="45"/>
      <c r="L102" s="29">
        <f t="shared" si="11"/>
        <v>0</v>
      </c>
      <c r="M102" s="29"/>
      <c r="N102" s="29">
        <f t="shared" si="15"/>
        <v>0</v>
      </c>
      <c r="O102" s="39">
        <f t="shared" si="12"/>
        <v>0</v>
      </c>
    </row>
    <row r="103" spans="1:15" ht="15.95" hidden="1" customHeight="1" x14ac:dyDescent="0.2">
      <c r="A103" s="42" t="s">
        <v>137</v>
      </c>
      <c r="B103" s="30" t="s">
        <v>203</v>
      </c>
      <c r="C103" s="29">
        <v>0</v>
      </c>
      <c r="D103" s="29"/>
      <c r="E103" s="29"/>
      <c r="F103" s="45"/>
      <c r="G103" s="45"/>
      <c r="H103" s="29"/>
      <c r="I103" s="29"/>
      <c r="J103" s="45"/>
      <c r="K103" s="45"/>
      <c r="L103" s="29">
        <f t="shared" si="11"/>
        <v>0</v>
      </c>
      <c r="M103" s="29"/>
      <c r="N103" s="29">
        <f t="shared" si="15"/>
        <v>0</v>
      </c>
      <c r="O103" s="39">
        <f t="shared" si="12"/>
        <v>0</v>
      </c>
    </row>
    <row r="104" spans="1:15" ht="15.95" customHeight="1" x14ac:dyDescent="0.2">
      <c r="A104" s="42">
        <v>274</v>
      </c>
      <c r="B104" s="30" t="s">
        <v>71</v>
      </c>
      <c r="C104" s="29">
        <v>1500</v>
      </c>
      <c r="D104" s="29"/>
      <c r="E104" s="29"/>
      <c r="F104" s="45"/>
      <c r="G104" s="45"/>
      <c r="H104" s="29"/>
      <c r="I104" s="29"/>
      <c r="J104" s="45"/>
      <c r="K104" s="45"/>
      <c r="L104" s="29">
        <f t="shared" si="11"/>
        <v>1500</v>
      </c>
      <c r="M104" s="29"/>
      <c r="N104" s="29">
        <f t="shared" si="15"/>
        <v>1500</v>
      </c>
      <c r="O104" s="39">
        <f t="shared" si="12"/>
        <v>0</v>
      </c>
    </row>
    <row r="105" spans="1:15" ht="15.95" hidden="1" customHeight="1" x14ac:dyDescent="0.2">
      <c r="A105" s="42">
        <v>275</v>
      </c>
      <c r="B105" s="30" t="s">
        <v>204</v>
      </c>
      <c r="C105" s="29">
        <v>0</v>
      </c>
      <c r="D105" s="29"/>
      <c r="E105" s="29"/>
      <c r="F105" s="45"/>
      <c r="G105" s="45"/>
      <c r="H105" s="29"/>
      <c r="I105" s="29"/>
      <c r="J105" s="45"/>
      <c r="K105" s="45"/>
      <c r="L105" s="29">
        <f t="shared" si="11"/>
        <v>0</v>
      </c>
      <c r="M105" s="29"/>
      <c r="N105" s="29">
        <f t="shared" si="15"/>
        <v>0</v>
      </c>
      <c r="O105" s="39">
        <f t="shared" si="12"/>
        <v>0</v>
      </c>
    </row>
    <row r="106" spans="1:15" ht="15.95" customHeight="1" x14ac:dyDescent="0.2">
      <c r="A106" s="42">
        <v>279</v>
      </c>
      <c r="B106" s="30" t="s">
        <v>205</v>
      </c>
      <c r="C106" s="29">
        <v>750</v>
      </c>
      <c r="D106" s="29"/>
      <c r="E106" s="29"/>
      <c r="F106" s="45"/>
      <c r="G106" s="45"/>
      <c r="H106" s="29"/>
      <c r="I106" s="29"/>
      <c r="J106" s="45"/>
      <c r="K106" s="45"/>
      <c r="L106" s="29">
        <f t="shared" si="11"/>
        <v>750</v>
      </c>
      <c r="M106" s="29"/>
      <c r="N106" s="29">
        <f t="shared" si="15"/>
        <v>750</v>
      </c>
      <c r="O106" s="39">
        <f t="shared" si="12"/>
        <v>0</v>
      </c>
    </row>
    <row r="107" spans="1:15" ht="15.95" hidden="1" customHeight="1" x14ac:dyDescent="0.2">
      <c r="A107" s="42">
        <v>281</v>
      </c>
      <c r="B107" s="30" t="s">
        <v>206</v>
      </c>
      <c r="C107" s="29">
        <v>0</v>
      </c>
      <c r="D107" s="29"/>
      <c r="E107" s="29"/>
      <c r="F107" s="45"/>
      <c r="G107" s="45"/>
      <c r="H107" s="29"/>
      <c r="I107" s="29"/>
      <c r="J107" s="45"/>
      <c r="K107" s="45"/>
      <c r="L107" s="29">
        <f t="shared" si="11"/>
        <v>0</v>
      </c>
      <c r="M107" s="29"/>
      <c r="N107" s="29">
        <f t="shared" si="15"/>
        <v>0</v>
      </c>
      <c r="O107" s="39">
        <f t="shared" si="12"/>
        <v>0</v>
      </c>
    </row>
    <row r="108" spans="1:15" ht="15.95" customHeight="1" x14ac:dyDescent="0.2">
      <c r="A108" s="42" t="s">
        <v>138</v>
      </c>
      <c r="B108" s="30" t="s">
        <v>207</v>
      </c>
      <c r="C108" s="29">
        <v>4800</v>
      </c>
      <c r="D108" s="29"/>
      <c r="E108" s="29"/>
      <c r="F108" s="45"/>
      <c r="G108" s="45"/>
      <c r="H108" s="29"/>
      <c r="I108" s="29"/>
      <c r="J108" s="45"/>
      <c r="K108" s="45"/>
      <c r="L108" s="29">
        <f t="shared" si="11"/>
        <v>4800</v>
      </c>
      <c r="M108" s="29">
        <v>16.52</v>
      </c>
      <c r="N108" s="29">
        <f t="shared" si="15"/>
        <v>4783.4799999999996</v>
      </c>
      <c r="O108" s="39">
        <f t="shared" si="12"/>
        <v>3.1059899128277225E-5</v>
      </c>
    </row>
    <row r="109" spans="1:15" ht="15.95" customHeight="1" x14ac:dyDescent="0.2">
      <c r="A109" s="42" t="s">
        <v>139</v>
      </c>
      <c r="B109" s="30" t="s">
        <v>72</v>
      </c>
      <c r="C109" s="29">
        <v>28800</v>
      </c>
      <c r="D109" s="29"/>
      <c r="E109" s="29"/>
      <c r="F109" s="45"/>
      <c r="G109" s="45"/>
      <c r="H109" s="29"/>
      <c r="I109" s="29"/>
      <c r="J109" s="45"/>
      <c r="K109" s="45"/>
      <c r="L109" s="29">
        <f t="shared" si="11"/>
        <v>28800</v>
      </c>
      <c r="M109" s="29"/>
      <c r="N109" s="29">
        <f t="shared" si="15"/>
        <v>28800</v>
      </c>
      <c r="O109" s="39">
        <f t="shared" si="12"/>
        <v>0</v>
      </c>
    </row>
    <row r="110" spans="1:15" ht="15.95" customHeight="1" x14ac:dyDescent="0.2">
      <c r="A110" s="42" t="s">
        <v>140</v>
      </c>
      <c r="B110" s="30" t="s">
        <v>73</v>
      </c>
      <c r="C110" s="29">
        <v>1150000</v>
      </c>
      <c r="D110" s="29"/>
      <c r="E110" s="29"/>
      <c r="F110" s="45"/>
      <c r="G110" s="45"/>
      <c r="H110" s="29"/>
      <c r="I110" s="29"/>
      <c r="J110" s="45"/>
      <c r="K110" s="45"/>
      <c r="L110" s="29">
        <f>C110+D110-E110+F110-G110+H110+J110-I110-K110</f>
        <v>1150000</v>
      </c>
      <c r="M110" s="29">
        <v>73800</v>
      </c>
      <c r="N110" s="29">
        <f t="shared" si="15"/>
        <v>1076200</v>
      </c>
      <c r="O110" s="39">
        <f t="shared" si="12"/>
        <v>0.13875427092414402</v>
      </c>
    </row>
    <row r="111" spans="1:15" ht="15.95" customHeight="1" x14ac:dyDescent="0.2">
      <c r="A111" s="42">
        <v>286</v>
      </c>
      <c r="B111" s="30" t="s">
        <v>208</v>
      </c>
      <c r="C111" s="29">
        <v>1500</v>
      </c>
      <c r="D111" s="29"/>
      <c r="E111" s="29"/>
      <c r="F111" s="45"/>
      <c r="G111" s="45"/>
      <c r="H111" s="29"/>
      <c r="I111" s="29"/>
      <c r="J111" s="45"/>
      <c r="K111" s="45"/>
      <c r="L111" s="29">
        <f t="shared" si="11"/>
        <v>1500</v>
      </c>
      <c r="M111" s="29">
        <v>75</v>
      </c>
      <c r="N111" s="29">
        <f t="shared" si="15"/>
        <v>1425</v>
      </c>
      <c r="O111" s="39">
        <f t="shared" si="12"/>
        <v>1.4101043793104067E-4</v>
      </c>
    </row>
    <row r="112" spans="1:15" ht="15.95" hidden="1" customHeight="1" x14ac:dyDescent="0.2">
      <c r="A112" s="42">
        <v>289</v>
      </c>
      <c r="B112" s="30" t="s">
        <v>209</v>
      </c>
      <c r="C112" s="29">
        <v>0</v>
      </c>
      <c r="D112" s="29"/>
      <c r="E112" s="29"/>
      <c r="F112" s="45"/>
      <c r="G112" s="45"/>
      <c r="H112" s="29"/>
      <c r="I112" s="29"/>
      <c r="J112" s="45"/>
      <c r="K112" s="45"/>
      <c r="L112" s="29">
        <f t="shared" si="11"/>
        <v>0</v>
      </c>
      <c r="M112" s="29"/>
      <c r="N112" s="29">
        <f t="shared" si="15"/>
        <v>0</v>
      </c>
      <c r="O112" s="39">
        <f t="shared" si="12"/>
        <v>0</v>
      </c>
    </row>
    <row r="113" spans="1:15" ht="15.95" customHeight="1" x14ac:dyDescent="0.2">
      <c r="A113" s="42" t="s">
        <v>141</v>
      </c>
      <c r="B113" s="30" t="s">
        <v>74</v>
      </c>
      <c r="C113" s="29">
        <v>6600</v>
      </c>
      <c r="D113" s="29"/>
      <c r="E113" s="29"/>
      <c r="F113" s="45"/>
      <c r="G113" s="45"/>
      <c r="H113" s="29"/>
      <c r="I113" s="29"/>
      <c r="J113" s="45"/>
      <c r="K113" s="45"/>
      <c r="L113" s="29">
        <f t="shared" si="11"/>
        <v>6600</v>
      </c>
      <c r="M113" s="29">
        <f>72.75+278.7+70.45</f>
        <v>421.9</v>
      </c>
      <c r="N113" s="29">
        <f t="shared" si="15"/>
        <v>6178.1</v>
      </c>
      <c r="O113" s="39">
        <f t="shared" si="12"/>
        <v>7.9323071684141405E-4</v>
      </c>
    </row>
    <row r="114" spans="1:15" ht="15.95" customHeight="1" x14ac:dyDescent="0.2">
      <c r="A114" s="42" t="s">
        <v>142</v>
      </c>
      <c r="B114" s="30" t="s">
        <v>210</v>
      </c>
      <c r="C114" s="29">
        <v>4000</v>
      </c>
      <c r="D114" s="29"/>
      <c r="E114" s="29"/>
      <c r="F114" s="45"/>
      <c r="G114" s="45"/>
      <c r="H114" s="29"/>
      <c r="I114" s="29"/>
      <c r="J114" s="45"/>
      <c r="K114" s="45"/>
      <c r="L114" s="29">
        <f t="shared" si="11"/>
        <v>4000</v>
      </c>
      <c r="M114" s="29">
        <f>54.99+178.05</f>
        <v>233.04000000000002</v>
      </c>
      <c r="N114" s="29">
        <f t="shared" si="15"/>
        <v>3766.96</v>
      </c>
      <c r="O114" s="39">
        <f t="shared" si="12"/>
        <v>4.3814763273932963E-4</v>
      </c>
    </row>
    <row r="115" spans="1:15" ht="15.95" customHeight="1" x14ac:dyDescent="0.2">
      <c r="A115" s="42" t="s">
        <v>143</v>
      </c>
      <c r="B115" s="30" t="s">
        <v>75</v>
      </c>
      <c r="C115" s="29">
        <v>25251.9</v>
      </c>
      <c r="D115" s="29"/>
      <c r="E115" s="29"/>
      <c r="F115" s="45"/>
      <c r="G115" s="45"/>
      <c r="H115" s="29"/>
      <c r="I115" s="29"/>
      <c r="J115" s="45"/>
      <c r="K115" s="45"/>
      <c r="L115" s="29">
        <f t="shared" si="11"/>
        <v>25251.9</v>
      </c>
      <c r="M115" s="29"/>
      <c r="N115" s="29">
        <f t="shared" si="15"/>
        <v>25251.9</v>
      </c>
      <c r="O115" s="39">
        <f t="shared" si="12"/>
        <v>0</v>
      </c>
    </row>
    <row r="116" spans="1:15" ht="15.95" customHeight="1" x14ac:dyDescent="0.2">
      <c r="A116" s="42" t="s">
        <v>144</v>
      </c>
      <c r="B116" s="30" t="s">
        <v>76</v>
      </c>
      <c r="C116" s="29">
        <v>2000</v>
      </c>
      <c r="D116" s="29"/>
      <c r="E116" s="29"/>
      <c r="F116" s="45"/>
      <c r="G116" s="45"/>
      <c r="H116" s="29"/>
      <c r="I116" s="29"/>
      <c r="J116" s="45"/>
      <c r="K116" s="45"/>
      <c r="L116" s="29">
        <f t="shared" si="11"/>
        <v>2000</v>
      </c>
      <c r="M116" s="29"/>
      <c r="N116" s="29">
        <f t="shared" si="15"/>
        <v>2000</v>
      </c>
      <c r="O116" s="39">
        <f t="shared" si="12"/>
        <v>0</v>
      </c>
    </row>
    <row r="117" spans="1:15" ht="15.95" customHeight="1" x14ac:dyDescent="0.2">
      <c r="A117" s="42" t="s">
        <v>145</v>
      </c>
      <c r="B117" s="30" t="s">
        <v>211</v>
      </c>
      <c r="C117" s="29">
        <v>9500</v>
      </c>
      <c r="D117" s="29"/>
      <c r="E117" s="29"/>
      <c r="F117" s="45"/>
      <c r="G117" s="45"/>
      <c r="H117" s="29"/>
      <c r="I117" s="29"/>
      <c r="J117" s="45"/>
      <c r="K117" s="45"/>
      <c r="L117" s="29">
        <f t="shared" si="11"/>
        <v>9500</v>
      </c>
      <c r="M117" s="29"/>
      <c r="N117" s="29">
        <f t="shared" si="15"/>
        <v>9500</v>
      </c>
      <c r="O117" s="39">
        <f t="shared" si="12"/>
        <v>0</v>
      </c>
    </row>
    <row r="118" spans="1:15" ht="15.95" customHeight="1" x14ac:dyDescent="0.2">
      <c r="A118" s="42" t="s">
        <v>146</v>
      </c>
      <c r="B118" s="30" t="s">
        <v>77</v>
      </c>
      <c r="C118" s="29">
        <v>76000</v>
      </c>
      <c r="D118" s="29"/>
      <c r="E118" s="29"/>
      <c r="F118" s="45"/>
      <c r="G118" s="45"/>
      <c r="H118" s="29"/>
      <c r="I118" s="29"/>
      <c r="J118" s="45"/>
      <c r="K118" s="45"/>
      <c r="L118" s="29">
        <f t="shared" si="11"/>
        <v>76000</v>
      </c>
      <c r="M118" s="29"/>
      <c r="N118" s="29">
        <f t="shared" si="15"/>
        <v>76000</v>
      </c>
      <c r="O118" s="39">
        <f t="shared" si="12"/>
        <v>0</v>
      </c>
    </row>
    <row r="119" spans="1:15" ht="15.95" customHeight="1" x14ac:dyDescent="0.2">
      <c r="A119" s="42" t="s">
        <v>147</v>
      </c>
      <c r="B119" s="30" t="s">
        <v>78</v>
      </c>
      <c r="C119" s="29">
        <v>9500</v>
      </c>
      <c r="D119" s="29"/>
      <c r="E119" s="29"/>
      <c r="F119" s="45"/>
      <c r="G119" s="45"/>
      <c r="H119" s="29"/>
      <c r="I119" s="29"/>
      <c r="J119" s="45"/>
      <c r="K119" s="45"/>
      <c r="L119" s="29">
        <f t="shared" si="11"/>
        <v>9500</v>
      </c>
      <c r="M119" s="29">
        <v>42</v>
      </c>
      <c r="N119" s="29">
        <f t="shared" si="15"/>
        <v>9458</v>
      </c>
      <c r="O119" s="39">
        <f t="shared" si="12"/>
        <v>7.8965845241382772E-5</v>
      </c>
    </row>
    <row r="120" spans="1:15" ht="15.95" customHeight="1" x14ac:dyDescent="0.2">
      <c r="A120" s="42"/>
      <c r="B120" s="30"/>
      <c r="C120" s="29"/>
      <c r="D120" s="29"/>
      <c r="E120" s="29"/>
      <c r="F120" s="45"/>
      <c r="G120" s="45"/>
      <c r="H120" s="29"/>
      <c r="I120" s="29"/>
      <c r="J120" s="45"/>
      <c r="K120" s="45"/>
      <c r="L120" s="29"/>
      <c r="M120" s="29"/>
      <c r="N120" s="29"/>
      <c r="O120" s="39"/>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5">
      <c r="A123" s="40">
        <v>3</v>
      </c>
      <c r="B123" s="41" t="s">
        <v>79</v>
      </c>
      <c r="C123" s="27"/>
      <c r="D123" s="29"/>
      <c r="E123" s="29"/>
      <c r="F123" s="45"/>
      <c r="G123" s="45"/>
      <c r="H123" s="29"/>
      <c r="I123" s="29"/>
      <c r="J123" s="45"/>
      <c r="K123" s="45"/>
      <c r="L123" s="29"/>
      <c r="M123" s="29"/>
      <c r="N123" s="29"/>
      <c r="O123" s="39"/>
    </row>
    <row r="124" spans="1:15" ht="15.95" customHeight="1" x14ac:dyDescent="0.2">
      <c r="A124" s="43" t="s">
        <v>212</v>
      </c>
      <c r="B124" s="44" t="s">
        <v>213</v>
      </c>
      <c r="C124" s="45">
        <v>10000</v>
      </c>
      <c r="D124" s="29"/>
      <c r="E124" s="29"/>
      <c r="F124" s="45"/>
      <c r="G124" s="45"/>
      <c r="H124" s="29"/>
      <c r="I124" s="29"/>
      <c r="J124" s="45"/>
      <c r="K124" s="45"/>
      <c r="L124" s="29">
        <f t="shared" ref="L124:L129" si="16">C124+D124-E124+F124-G124+H124+J124-K124</f>
        <v>10000</v>
      </c>
      <c r="M124" s="29"/>
      <c r="N124" s="29">
        <f t="shared" si="15"/>
        <v>10000</v>
      </c>
      <c r="O124" s="39">
        <f>M124/$M$138</f>
        <v>0</v>
      </c>
    </row>
    <row r="125" spans="1:15" ht="15.95" hidden="1" customHeight="1" x14ac:dyDescent="0.2">
      <c r="A125" s="43" t="s">
        <v>80</v>
      </c>
      <c r="B125" s="44" t="s">
        <v>214</v>
      </c>
      <c r="C125" s="45">
        <v>0</v>
      </c>
      <c r="D125" s="29"/>
      <c r="E125" s="29"/>
      <c r="F125" s="45"/>
      <c r="G125" s="45"/>
      <c r="H125" s="29"/>
      <c r="I125" s="29"/>
      <c r="J125" s="45"/>
      <c r="K125" s="45"/>
      <c r="L125" s="29">
        <f t="shared" si="16"/>
        <v>0</v>
      </c>
      <c r="M125" s="29"/>
      <c r="N125" s="29">
        <f t="shared" si="15"/>
        <v>0</v>
      </c>
      <c r="O125" s="39">
        <f>M125/$M$138</f>
        <v>0</v>
      </c>
    </row>
    <row r="126" spans="1:15" ht="15.95" customHeight="1" x14ac:dyDescent="0.2">
      <c r="A126" s="43" t="s">
        <v>215</v>
      </c>
      <c r="B126" s="44" t="s">
        <v>216</v>
      </c>
      <c r="C126" s="45">
        <v>304035</v>
      </c>
      <c r="D126" s="29"/>
      <c r="E126" s="29"/>
      <c r="F126" s="45"/>
      <c r="G126" s="45"/>
      <c r="H126" s="29"/>
      <c r="I126" s="29"/>
      <c r="J126" s="45"/>
      <c r="K126" s="45"/>
      <c r="L126" s="29">
        <f t="shared" si="16"/>
        <v>304035</v>
      </c>
      <c r="M126" s="29"/>
      <c r="N126" s="29">
        <f t="shared" si="15"/>
        <v>304035</v>
      </c>
      <c r="O126" s="39">
        <f>M126/$M$138</f>
        <v>0</v>
      </c>
    </row>
    <row r="127" spans="1:15" ht="15.95" customHeight="1" x14ac:dyDescent="0.2">
      <c r="A127" s="43" t="s">
        <v>217</v>
      </c>
      <c r="B127" s="44" t="s">
        <v>218</v>
      </c>
      <c r="C127" s="45">
        <v>1500</v>
      </c>
      <c r="D127" s="29"/>
      <c r="E127" s="29"/>
      <c r="F127" s="45"/>
      <c r="G127" s="45"/>
      <c r="H127" s="29"/>
      <c r="I127" s="29"/>
      <c r="J127" s="45"/>
      <c r="K127" s="45"/>
      <c r="L127" s="29">
        <f t="shared" si="16"/>
        <v>1500</v>
      </c>
      <c r="M127" s="29"/>
      <c r="N127" s="29">
        <f t="shared" si="15"/>
        <v>1500</v>
      </c>
      <c r="O127" s="39">
        <f>M127/$M$138</f>
        <v>0</v>
      </c>
    </row>
    <row r="128" spans="1:15" ht="15.95" customHeight="1" x14ac:dyDescent="0.2">
      <c r="A128" s="43">
        <v>328</v>
      </c>
      <c r="B128" s="44" t="s">
        <v>236</v>
      </c>
      <c r="C128" s="45">
        <v>40000</v>
      </c>
      <c r="D128" s="29"/>
      <c r="E128" s="29"/>
      <c r="F128" s="45"/>
      <c r="G128" s="45"/>
      <c r="H128" s="29"/>
      <c r="I128" s="29"/>
      <c r="J128" s="45"/>
      <c r="K128" s="45"/>
      <c r="L128" s="29">
        <f t="shared" si="16"/>
        <v>40000</v>
      </c>
      <c r="M128" s="29">
        <v>645</v>
      </c>
      <c r="N128" s="29">
        <f t="shared" si="15"/>
        <v>39355</v>
      </c>
      <c r="O128" s="39">
        <f>+M128/M138</f>
        <v>1.2126897662069498E-3</v>
      </c>
    </row>
    <row r="129" spans="1:15" ht="15.95" customHeight="1" x14ac:dyDescent="0.2">
      <c r="A129" s="43" t="s">
        <v>219</v>
      </c>
      <c r="B129" s="44" t="s">
        <v>220</v>
      </c>
      <c r="C129" s="45">
        <v>14300</v>
      </c>
      <c r="D129" s="29"/>
      <c r="E129" s="29"/>
      <c r="F129" s="45"/>
      <c r="G129" s="45"/>
      <c r="H129" s="29"/>
      <c r="I129" s="29"/>
      <c r="J129" s="45"/>
      <c r="K129" s="45"/>
      <c r="L129" s="29">
        <f t="shared" si="16"/>
        <v>14300</v>
      </c>
      <c r="M129" s="29"/>
      <c r="N129" s="29">
        <f t="shared" si="15"/>
        <v>14300</v>
      </c>
      <c r="O129" s="39">
        <f>M129/$M$138</f>
        <v>0</v>
      </c>
    </row>
    <row r="130" spans="1:15" ht="15.95" hidden="1" customHeight="1" x14ac:dyDescent="0.2">
      <c r="A130" s="43" t="s">
        <v>221</v>
      </c>
      <c r="B130" s="44" t="s">
        <v>222</v>
      </c>
      <c r="C130" s="45">
        <v>0</v>
      </c>
      <c r="D130" s="29"/>
      <c r="E130" s="29"/>
      <c r="F130" s="45"/>
      <c r="G130" s="45"/>
      <c r="H130" s="29"/>
      <c r="I130" s="29"/>
      <c r="J130" s="45"/>
      <c r="K130" s="45"/>
      <c r="L130" s="29">
        <f t="shared" ref="L130" si="17">C130+D130-E130+F130-G130+J130-K130</f>
        <v>0</v>
      </c>
      <c r="M130" s="29"/>
      <c r="N130" s="29">
        <f t="shared" si="15"/>
        <v>0</v>
      </c>
      <c r="O130" s="39">
        <f>M130/$M$138</f>
        <v>0</v>
      </c>
    </row>
    <row r="131" spans="1:15" ht="15.95" customHeight="1" x14ac:dyDescent="0.2">
      <c r="A131" s="43"/>
      <c r="B131" s="44"/>
      <c r="C131" s="45"/>
      <c r="D131" s="29"/>
      <c r="E131" s="29"/>
      <c r="F131" s="45"/>
      <c r="G131" s="45"/>
      <c r="H131" s="29"/>
      <c r="I131" s="29"/>
      <c r="J131" s="45"/>
      <c r="K131" s="45"/>
      <c r="L131" s="29"/>
      <c r="M131" s="29"/>
      <c r="N131" s="29"/>
      <c r="O131" s="39"/>
    </row>
    <row r="132" spans="1:15" ht="15.95" customHeight="1" x14ac:dyDescent="0.2">
      <c r="A132" s="42"/>
      <c r="B132" s="30"/>
      <c r="C132" s="29"/>
      <c r="D132" s="29"/>
      <c r="E132" s="29"/>
      <c r="F132" s="45"/>
      <c r="G132" s="45"/>
      <c r="H132" s="29"/>
      <c r="I132" s="29"/>
      <c r="J132" s="45"/>
      <c r="K132" s="45"/>
      <c r="L132" s="29"/>
      <c r="M132" s="29"/>
      <c r="N132" s="29"/>
      <c r="O132" s="39"/>
    </row>
    <row r="133" spans="1:15" ht="15.95" customHeight="1" x14ac:dyDescent="0.25">
      <c r="A133" s="40">
        <v>4</v>
      </c>
      <c r="B133" s="41" t="s">
        <v>81</v>
      </c>
      <c r="C133" s="27"/>
      <c r="D133" s="29"/>
      <c r="E133" s="29"/>
      <c r="F133" s="45"/>
      <c r="G133" s="45"/>
      <c r="H133" s="29"/>
      <c r="I133" s="29"/>
      <c r="J133" s="45"/>
      <c r="K133" s="45"/>
      <c r="L133" s="29"/>
      <c r="M133" s="29"/>
      <c r="N133" s="29"/>
      <c r="O133" s="39"/>
    </row>
    <row r="134" spans="1:15" ht="15.95" customHeight="1" x14ac:dyDescent="0.2">
      <c r="A134" s="42" t="s">
        <v>223</v>
      </c>
      <c r="B134" s="30" t="s">
        <v>82</v>
      </c>
      <c r="C134" s="29">
        <v>185900</v>
      </c>
      <c r="D134" s="29"/>
      <c r="E134" s="29"/>
      <c r="F134" s="45"/>
      <c r="G134" s="45"/>
      <c r="H134" s="29"/>
      <c r="I134" s="29"/>
      <c r="J134" s="45"/>
      <c r="K134" s="45"/>
      <c r="L134" s="29">
        <f t="shared" ref="L134:L135" si="18">C134+D134-E134+F134-G134+H134+J134-K134</f>
        <v>185900</v>
      </c>
      <c r="M134" s="29"/>
      <c r="N134" s="29">
        <f t="shared" si="15"/>
        <v>185900</v>
      </c>
      <c r="O134" s="39">
        <f>M134/$M$138</f>
        <v>0</v>
      </c>
    </row>
    <row r="135" spans="1:15" ht="15.95" customHeight="1" x14ac:dyDescent="0.2">
      <c r="A135" s="42" t="s">
        <v>224</v>
      </c>
      <c r="B135" s="30" t="s">
        <v>225</v>
      </c>
      <c r="C135" s="29">
        <v>7170</v>
      </c>
      <c r="D135" s="29"/>
      <c r="E135" s="29"/>
      <c r="F135" s="29"/>
      <c r="G135" s="29"/>
      <c r="H135" s="29"/>
      <c r="I135" s="29"/>
      <c r="J135" s="45"/>
      <c r="K135" s="45"/>
      <c r="L135" s="29">
        <f t="shared" si="18"/>
        <v>7170</v>
      </c>
      <c r="M135" s="29"/>
      <c r="N135" s="29">
        <f t="shared" si="15"/>
        <v>7170</v>
      </c>
      <c r="O135" s="39">
        <f>M135/$M$138</f>
        <v>0</v>
      </c>
    </row>
    <row r="136" spans="1:15" ht="15.95" customHeight="1" x14ac:dyDescent="0.2">
      <c r="A136" s="42" t="s">
        <v>226</v>
      </c>
      <c r="B136" s="30" t="s">
        <v>227</v>
      </c>
      <c r="C136" s="29">
        <v>70000</v>
      </c>
      <c r="D136" s="29"/>
      <c r="E136" s="29"/>
      <c r="F136" s="29"/>
      <c r="G136" s="29"/>
      <c r="H136" s="29"/>
      <c r="I136" s="29"/>
      <c r="J136" s="45"/>
      <c r="K136" s="45"/>
      <c r="L136" s="29">
        <f>C136+D136-E136+F136-G136+H136+J136-K136</f>
        <v>70000</v>
      </c>
      <c r="M136" s="29">
        <v>1000</v>
      </c>
      <c r="N136" s="29">
        <f t="shared" si="15"/>
        <v>69000</v>
      </c>
      <c r="O136" s="39">
        <f>M136/$M$138</f>
        <v>1.8801391724138756E-3</v>
      </c>
    </row>
    <row r="137" spans="1:15" ht="15.95" customHeight="1" thickBot="1" x14ac:dyDescent="0.25">
      <c r="A137" s="42" t="s">
        <v>228</v>
      </c>
      <c r="B137" s="30" t="s">
        <v>229</v>
      </c>
      <c r="C137" s="29">
        <v>8750</v>
      </c>
      <c r="D137" s="29"/>
      <c r="E137" s="29"/>
      <c r="F137" s="29"/>
      <c r="G137" s="29"/>
      <c r="H137" s="29"/>
      <c r="I137" s="29"/>
      <c r="J137" s="45"/>
      <c r="K137" s="45"/>
      <c r="L137" s="29">
        <f t="shared" ref="L137" si="19">C137+D137-E137+F137-G137+H137+J137-K137</f>
        <v>8750</v>
      </c>
      <c r="M137" s="29"/>
      <c r="N137" s="29">
        <f t="shared" si="15"/>
        <v>8750</v>
      </c>
      <c r="O137" s="39">
        <f>M137/$M$138</f>
        <v>0</v>
      </c>
    </row>
    <row r="138" spans="1:15" ht="18" customHeight="1" thickBot="1" x14ac:dyDescent="0.3">
      <c r="A138" s="33"/>
      <c r="B138" s="34" t="s">
        <v>91</v>
      </c>
      <c r="C138" s="35">
        <f t="shared" ref="C138:N138" si="20">SUM(C31:C137)</f>
        <v>8258523.6200000001</v>
      </c>
      <c r="D138" s="35">
        <f t="shared" si="20"/>
        <v>0</v>
      </c>
      <c r="E138" s="35">
        <f t="shared" si="20"/>
        <v>0</v>
      </c>
      <c r="F138" s="35">
        <f t="shared" si="20"/>
        <v>0</v>
      </c>
      <c r="G138" s="35">
        <f t="shared" si="20"/>
        <v>0</v>
      </c>
      <c r="H138" s="35">
        <f t="shared" si="20"/>
        <v>0</v>
      </c>
      <c r="I138" s="35">
        <f t="shared" si="20"/>
        <v>0</v>
      </c>
      <c r="J138" s="65">
        <f t="shared" si="20"/>
        <v>0</v>
      </c>
      <c r="K138" s="65">
        <f t="shared" si="20"/>
        <v>0</v>
      </c>
      <c r="L138" s="35">
        <f>SUM(L31:L137)</f>
        <v>8258523.6200000001</v>
      </c>
      <c r="M138" s="35">
        <f>SUM(M31:M137)</f>
        <v>531875.52000000014</v>
      </c>
      <c r="N138" s="35">
        <f t="shared" si="20"/>
        <v>7726648.1000000006</v>
      </c>
      <c r="O138" s="46">
        <v>1</v>
      </c>
    </row>
    <row r="139" spans="1:15" x14ac:dyDescent="0.2">
      <c r="A139" s="47"/>
      <c r="B139" s="76"/>
      <c r="C139" s="78"/>
      <c r="D139" s="77"/>
      <c r="E139" s="48"/>
      <c r="F139" s="48"/>
      <c r="G139" s="48"/>
      <c r="H139" s="48"/>
      <c r="I139" s="48"/>
      <c r="J139" s="66"/>
      <c r="K139" s="66"/>
      <c r="L139" s="48"/>
      <c r="M139" s="48"/>
      <c r="N139" s="48"/>
    </row>
    <row r="140" spans="1:15" ht="15.75" thickBot="1" x14ac:dyDescent="0.25">
      <c r="E140" s="12"/>
      <c r="F140" s="4"/>
      <c r="L140" s="15"/>
      <c r="M140" s="4"/>
    </row>
    <row r="141" spans="1:15" ht="15.75" x14ac:dyDescent="0.25">
      <c r="A141" s="1" t="s">
        <v>83</v>
      </c>
      <c r="B141" s="2"/>
      <c r="C141" s="3"/>
      <c r="D141" s="4"/>
      <c r="E141" s="4"/>
      <c r="F141" s="4"/>
      <c r="G141" s="4"/>
      <c r="H141" s="4"/>
      <c r="I141" s="4"/>
      <c r="J141" s="67"/>
      <c r="K141" s="67"/>
      <c r="L141" s="4"/>
      <c r="M141" s="4"/>
    </row>
    <row r="142" spans="1:15" ht="15.75" x14ac:dyDescent="0.25">
      <c r="A142" s="5" t="s">
        <v>2</v>
      </c>
      <c r="B142" s="6"/>
      <c r="C142" s="7"/>
      <c r="D142" s="4"/>
      <c r="E142" s="4"/>
      <c r="F142" s="4"/>
      <c r="G142" s="4"/>
      <c r="H142" s="4"/>
      <c r="I142" s="4"/>
      <c r="J142" s="67"/>
      <c r="K142" s="67"/>
      <c r="L142" s="4"/>
      <c r="M142" s="4"/>
    </row>
    <row r="143" spans="1:15" ht="5.0999999999999996" customHeight="1" thickBot="1" x14ac:dyDescent="0.25">
      <c r="A143" s="8"/>
      <c r="B143" s="9"/>
      <c r="C143" s="10"/>
      <c r="D143" s="4"/>
      <c r="E143" s="4"/>
      <c r="F143" s="4"/>
      <c r="G143" s="4"/>
      <c r="H143" s="4"/>
      <c r="I143" s="4"/>
      <c r="J143" s="67"/>
      <c r="K143" s="67"/>
      <c r="L143" s="4"/>
      <c r="M143" s="4"/>
    </row>
    <row r="144" spans="1:15" ht="6.95" customHeight="1" x14ac:dyDescent="0.2">
      <c r="A144" s="49"/>
      <c r="B144" s="50"/>
      <c r="C144" s="51"/>
      <c r="D144" s="4"/>
      <c r="E144" s="4"/>
      <c r="F144" s="4"/>
      <c r="G144" s="4"/>
      <c r="H144" s="4"/>
      <c r="I144" s="4"/>
      <c r="J144" s="67"/>
      <c r="K144" s="67"/>
      <c r="L144" s="4"/>
      <c r="M144" s="4"/>
    </row>
    <row r="145" spans="1:12" x14ac:dyDescent="0.2">
      <c r="A145" s="52" t="s">
        <v>84</v>
      </c>
      <c r="B145" s="53"/>
      <c r="C145" s="54"/>
      <c r="D145" s="4"/>
      <c r="E145" s="4"/>
      <c r="F145" s="4"/>
      <c r="G145" s="4"/>
      <c r="H145" s="4"/>
      <c r="I145" s="4"/>
      <c r="J145" s="67"/>
      <c r="K145" s="67"/>
      <c r="L145" s="4"/>
    </row>
    <row r="146" spans="1:12" x14ac:dyDescent="0.2">
      <c r="A146" s="55" t="s">
        <v>255</v>
      </c>
      <c r="B146" s="53"/>
      <c r="C146" s="70">
        <v>2534598.2200000002</v>
      </c>
      <c r="D146" s="48"/>
      <c r="E146" s="4"/>
      <c r="F146" s="4"/>
      <c r="G146" s="4"/>
      <c r="H146" s="4"/>
      <c r="I146" s="4"/>
      <c r="J146" s="67"/>
      <c r="K146" s="67"/>
      <c r="L146" s="4"/>
    </row>
    <row r="147" spans="1:12" x14ac:dyDescent="0.2">
      <c r="A147" s="55" t="s">
        <v>256</v>
      </c>
      <c r="B147" s="53"/>
      <c r="C147" s="70">
        <v>-22148.02</v>
      </c>
      <c r="D147" s="48"/>
      <c r="E147" s="4"/>
      <c r="F147" s="4"/>
      <c r="G147" s="4"/>
      <c r="H147" s="4"/>
      <c r="I147" s="4"/>
      <c r="J147" s="67"/>
      <c r="K147" s="67"/>
      <c r="L147" s="4"/>
    </row>
    <row r="148" spans="1:12" x14ac:dyDescent="0.2">
      <c r="A148" s="55" t="s">
        <v>257</v>
      </c>
      <c r="B148" s="53"/>
      <c r="C148" s="70"/>
      <c r="D148" s="48"/>
      <c r="E148" s="4"/>
      <c r="F148" s="4"/>
      <c r="G148" s="4"/>
      <c r="H148" s="4"/>
      <c r="I148" s="4"/>
      <c r="J148" s="67"/>
      <c r="K148" s="67"/>
      <c r="L148" s="4"/>
    </row>
    <row r="149" spans="1:12" x14ac:dyDescent="0.2">
      <c r="A149" s="84" t="s">
        <v>243</v>
      </c>
      <c r="B149" s="53"/>
      <c r="C149" s="70"/>
      <c r="D149" s="48"/>
      <c r="E149" s="4"/>
      <c r="F149" s="4"/>
      <c r="G149" s="4"/>
      <c r="H149" s="4"/>
      <c r="I149" s="4"/>
      <c r="J149" s="67"/>
      <c r="K149" s="67"/>
      <c r="L149" s="4"/>
    </row>
    <row r="150" spans="1:12" x14ac:dyDescent="0.2">
      <c r="A150" s="55" t="s">
        <v>85</v>
      </c>
      <c r="B150" s="53"/>
      <c r="C150" s="70">
        <f>M26</f>
        <v>863038.55999999994</v>
      </c>
      <c r="D150" s="48"/>
      <c r="E150" s="4"/>
      <c r="F150" s="4"/>
      <c r="G150" s="4"/>
      <c r="H150" s="4"/>
      <c r="I150" s="4"/>
      <c r="J150" s="67"/>
      <c r="K150" s="67"/>
      <c r="L150" s="4"/>
    </row>
    <row r="151" spans="1:12" x14ac:dyDescent="0.2">
      <c r="A151" s="55" t="s">
        <v>86</v>
      </c>
      <c r="B151" s="53"/>
      <c r="C151" s="71">
        <f>-M138</f>
        <v>-531875.52000000014</v>
      </c>
      <c r="D151" s="4"/>
      <c r="E151" s="4"/>
      <c r="F151" s="4"/>
      <c r="G151" s="4"/>
      <c r="H151" s="4"/>
      <c r="I151" s="4"/>
      <c r="J151" s="67"/>
      <c r="K151" s="67"/>
      <c r="L151" s="4"/>
    </row>
    <row r="152" spans="1:12" ht="15.75" x14ac:dyDescent="0.25">
      <c r="A152" s="56" t="s">
        <v>87</v>
      </c>
      <c r="B152" s="57"/>
      <c r="C152" s="72">
        <f>SUM(C146:C151)</f>
        <v>2843613.24</v>
      </c>
      <c r="D152" s="4"/>
      <c r="E152" s="4"/>
      <c r="F152" s="4"/>
      <c r="G152" s="4"/>
      <c r="H152" s="4"/>
      <c r="I152" s="4"/>
      <c r="J152" s="67"/>
      <c r="K152" s="67"/>
      <c r="L152" s="4"/>
    </row>
    <row r="153" spans="1:12" ht="15.75" x14ac:dyDescent="0.25">
      <c r="A153" s="56"/>
      <c r="B153" s="57"/>
      <c r="C153" s="72"/>
      <c r="D153" s="4"/>
      <c r="E153" s="4"/>
      <c r="F153" s="4"/>
      <c r="G153" s="4"/>
      <c r="H153" s="4"/>
      <c r="I153" s="4"/>
      <c r="J153" s="67"/>
      <c r="K153" s="67"/>
      <c r="L153" s="4"/>
    </row>
    <row r="154" spans="1:12" x14ac:dyDescent="0.2">
      <c r="A154" s="52" t="s">
        <v>88</v>
      </c>
      <c r="B154" s="53"/>
      <c r="C154" s="70"/>
      <c r="D154" s="4"/>
      <c r="E154" s="4"/>
      <c r="F154" s="4"/>
      <c r="G154" s="4"/>
      <c r="H154" s="4"/>
      <c r="I154" s="4"/>
      <c r="J154" s="67"/>
      <c r="K154" s="67"/>
      <c r="L154" s="4"/>
    </row>
    <row r="155" spans="1:12" ht="12" customHeight="1" x14ac:dyDescent="0.2">
      <c r="A155" s="55" t="s">
        <v>148</v>
      </c>
      <c r="B155" s="53"/>
      <c r="C155" s="70">
        <v>272</v>
      </c>
      <c r="D155" s="4"/>
      <c r="E155" s="4"/>
      <c r="F155" s="4"/>
      <c r="G155" s="4"/>
      <c r="H155" s="4"/>
      <c r="I155" s="4"/>
      <c r="J155" s="67"/>
      <c r="K155" s="67"/>
      <c r="L155" s="4"/>
    </row>
    <row r="156" spans="1:12" ht="12" customHeight="1" x14ac:dyDescent="0.2">
      <c r="A156" s="55" t="s">
        <v>245</v>
      </c>
      <c r="B156" s="53"/>
      <c r="C156" s="70"/>
      <c r="D156" s="4"/>
      <c r="E156" s="4"/>
      <c r="F156" s="4"/>
      <c r="G156" s="4"/>
      <c r="H156" s="4"/>
      <c r="I156" s="4"/>
      <c r="J156" s="67"/>
      <c r="K156" s="67"/>
      <c r="L156" s="4"/>
    </row>
    <row r="157" spans="1:12" ht="12" customHeight="1" x14ac:dyDescent="0.2">
      <c r="A157" s="55" t="s">
        <v>253</v>
      </c>
      <c r="B157" s="53"/>
      <c r="C157" s="70">
        <v>7528.7</v>
      </c>
      <c r="D157" s="4"/>
      <c r="E157" s="4"/>
      <c r="F157" s="4"/>
      <c r="G157" s="4"/>
      <c r="H157" s="4"/>
      <c r="I157" s="4"/>
      <c r="J157" s="67"/>
      <c r="K157" s="67"/>
      <c r="L157" s="4"/>
    </row>
    <row r="158" spans="1:12" x14ac:dyDescent="0.2">
      <c r="A158" s="55" t="s">
        <v>151</v>
      </c>
      <c r="B158" s="53"/>
      <c r="C158" s="70">
        <f>11013.32-0.07</f>
        <v>11013.25</v>
      </c>
      <c r="D158" s="80"/>
      <c r="E158" s="4"/>
      <c r="F158" s="4"/>
      <c r="G158" s="4"/>
      <c r="H158" s="4"/>
      <c r="I158" s="4"/>
      <c r="J158" s="67"/>
      <c r="K158" s="67"/>
      <c r="L158" s="4"/>
    </row>
    <row r="159" spans="1:12" x14ac:dyDescent="0.2">
      <c r="A159" s="55" t="s">
        <v>150</v>
      </c>
      <c r="B159" s="53"/>
      <c r="C159" s="70">
        <v>1343.71</v>
      </c>
      <c r="D159" s="81"/>
      <c r="E159" s="4"/>
      <c r="F159" s="4"/>
      <c r="G159" s="4"/>
      <c r="H159" s="4"/>
      <c r="I159" s="4"/>
      <c r="J159" s="67"/>
      <c r="K159" s="67"/>
      <c r="L159" s="4"/>
    </row>
    <row r="160" spans="1:12" x14ac:dyDescent="0.2">
      <c r="A160" s="55" t="s">
        <v>149</v>
      </c>
      <c r="B160" s="53"/>
      <c r="C160" s="70">
        <v>3337.85</v>
      </c>
      <c r="D160" s="81"/>
      <c r="E160" s="4"/>
      <c r="F160" s="4"/>
      <c r="G160" s="4"/>
      <c r="H160" s="4"/>
      <c r="I160" s="4"/>
      <c r="J160" s="67"/>
      <c r="K160" s="67"/>
      <c r="L160" s="4"/>
    </row>
    <row r="161" spans="1:13" x14ac:dyDescent="0.2">
      <c r="A161" s="55" t="s">
        <v>257</v>
      </c>
      <c r="B161" s="53"/>
      <c r="C161" s="70"/>
      <c r="D161" s="81"/>
      <c r="E161" s="4"/>
      <c r="F161" s="4"/>
      <c r="G161" s="4"/>
      <c r="H161" s="4"/>
      <c r="I161" s="4"/>
      <c r="J161" s="67"/>
      <c r="K161" s="67"/>
      <c r="L161" s="4"/>
    </row>
    <row r="162" spans="1:13" x14ac:dyDescent="0.2">
      <c r="A162" s="55" t="s">
        <v>261</v>
      </c>
      <c r="B162" s="53"/>
      <c r="C162" s="70"/>
      <c r="D162" s="81"/>
      <c r="E162" s="4"/>
      <c r="F162" s="4"/>
      <c r="G162" s="4"/>
      <c r="H162" s="4"/>
      <c r="I162" s="4"/>
      <c r="J162" s="67"/>
      <c r="K162" s="67"/>
      <c r="L162" s="4"/>
    </row>
    <row r="163" spans="1:13" x14ac:dyDescent="0.2">
      <c r="A163" s="55"/>
      <c r="B163" s="53"/>
      <c r="C163" s="70"/>
      <c r="D163" s="81"/>
      <c r="E163" s="4"/>
      <c r="F163" s="4"/>
      <c r="G163" s="4"/>
      <c r="H163" s="4"/>
      <c r="I163" s="4"/>
      <c r="J163" s="67"/>
      <c r="K163" s="67"/>
      <c r="L163" s="4"/>
    </row>
    <row r="164" spans="1:13" x14ac:dyDescent="0.2">
      <c r="A164" s="55"/>
      <c r="B164" s="53"/>
      <c r="C164" s="71"/>
      <c r="D164" s="82"/>
      <c r="E164" s="83"/>
      <c r="F164" s="4"/>
      <c r="G164" s="4"/>
      <c r="H164" s="4"/>
      <c r="I164" s="4"/>
      <c r="J164" s="67"/>
      <c r="K164" s="67"/>
      <c r="L164" s="4"/>
    </row>
    <row r="165" spans="1:13" ht="15.75" x14ac:dyDescent="0.25">
      <c r="A165" s="56"/>
      <c r="B165" s="57"/>
      <c r="C165" s="72">
        <f>SUM(C155:C164)</f>
        <v>23495.51</v>
      </c>
      <c r="D165" s="82"/>
      <c r="E165" s="83"/>
      <c r="F165" s="4"/>
      <c r="G165" s="4"/>
      <c r="H165" s="4"/>
      <c r="I165" s="4"/>
      <c r="J165" s="67"/>
      <c r="K165" s="67"/>
      <c r="L165" s="4"/>
    </row>
    <row r="166" spans="1:13" ht="2.1" customHeight="1" x14ac:dyDescent="0.25">
      <c r="A166" s="56"/>
      <c r="B166" s="57"/>
      <c r="C166" s="73"/>
      <c r="D166" s="81"/>
      <c r="E166" s="4"/>
      <c r="F166" s="4"/>
      <c r="G166" s="4"/>
      <c r="H166" s="4"/>
      <c r="I166" s="4"/>
      <c r="J166" s="67"/>
      <c r="K166" s="67"/>
      <c r="L166" s="4"/>
    </row>
    <row r="167" spans="1:13" x14ac:dyDescent="0.2">
      <c r="A167" s="55"/>
      <c r="B167" s="53"/>
      <c r="C167" s="70"/>
      <c r="D167" s="81"/>
      <c r="E167" s="4"/>
      <c r="F167" s="4"/>
      <c r="G167" s="4"/>
      <c r="H167" s="4"/>
      <c r="I167" s="4"/>
      <c r="J167" s="67"/>
      <c r="K167" s="67"/>
      <c r="L167" s="4"/>
    </row>
    <row r="168" spans="1:13" ht="2.1" customHeight="1" thickBot="1" x14ac:dyDescent="0.3">
      <c r="A168" s="58" t="s">
        <v>242</v>
      </c>
      <c r="B168" s="59"/>
      <c r="C168" s="69">
        <f>C152+C165</f>
        <v>2867108.75</v>
      </c>
      <c r="D168" s="80"/>
      <c r="E168" s="4"/>
      <c r="F168" s="4"/>
      <c r="G168" s="4"/>
      <c r="H168" s="4"/>
      <c r="I168" s="4"/>
      <c r="J168" s="67"/>
      <c r="K168" s="67"/>
      <c r="L168" s="4"/>
    </row>
    <row r="169" spans="1:13" ht="9.9499999999999993" customHeight="1" x14ac:dyDescent="0.2">
      <c r="A169" s="55"/>
      <c r="B169" s="53"/>
      <c r="C169" s="70"/>
      <c r="D169" s="80"/>
      <c r="E169" s="4"/>
      <c r="F169" s="4"/>
      <c r="G169" s="4"/>
      <c r="H169" s="4"/>
      <c r="I169" s="4"/>
      <c r="J169" s="67"/>
      <c r="K169" s="67"/>
      <c r="L169" s="4"/>
    </row>
    <row r="170" spans="1:13" ht="16.5" thickBot="1" x14ac:dyDescent="0.3">
      <c r="A170" s="58" t="s">
        <v>262</v>
      </c>
      <c r="B170" s="59"/>
      <c r="C170" s="69">
        <f>C152+C165</f>
        <v>2867108.75</v>
      </c>
      <c r="D170" s="82"/>
      <c r="E170" s="4"/>
      <c r="F170" s="4"/>
      <c r="G170" s="4"/>
      <c r="H170" s="4"/>
      <c r="I170" s="4"/>
      <c r="J170" s="67"/>
      <c r="K170" s="67"/>
      <c r="L170" s="4"/>
      <c r="M170" s="4"/>
    </row>
    <row r="171" spans="1:13" x14ac:dyDescent="0.2">
      <c r="A171" s="53"/>
      <c r="C171" s="4"/>
      <c r="D171" s="4"/>
      <c r="E171" s="4"/>
      <c r="F171" s="4"/>
      <c r="G171" s="4"/>
      <c r="H171" s="4"/>
      <c r="I171" s="4"/>
      <c r="J171" s="67"/>
      <c r="K171" s="67"/>
      <c r="L171" s="4"/>
    </row>
    <row r="172" spans="1:13" x14ac:dyDescent="0.2">
      <c r="C172" s="4"/>
      <c r="D172" s="4"/>
      <c r="E172" s="4"/>
    </row>
    <row r="173" spans="1:13" x14ac:dyDescent="0.2">
      <c r="C173" s="14"/>
      <c r="D173" s="4"/>
    </row>
    <row r="174" spans="1:13" x14ac:dyDescent="0.2">
      <c r="C174" s="14"/>
      <c r="D174" s="4"/>
    </row>
    <row r="175" spans="1:13" x14ac:dyDescent="0.2">
      <c r="C175" s="15"/>
      <c r="D175" s="4"/>
      <c r="I175" s="4"/>
      <c r="K175" s="67"/>
      <c r="L175" s="4"/>
    </row>
    <row r="176" spans="1:13" x14ac:dyDescent="0.2">
      <c r="C176" s="15"/>
      <c r="D176" s="4"/>
    </row>
    <row r="177" spans="2:12" x14ac:dyDescent="0.2">
      <c r="C177" s="15"/>
      <c r="D177" s="4"/>
    </row>
    <row r="178" spans="2:12" x14ac:dyDescent="0.2">
      <c r="C178" s="15"/>
      <c r="D178" s="4"/>
    </row>
    <row r="179" spans="2:12" x14ac:dyDescent="0.2">
      <c r="C179" s="15"/>
      <c r="D179" s="4"/>
    </row>
    <row r="180" spans="2:12" x14ac:dyDescent="0.2">
      <c r="D180" s="4"/>
    </row>
    <row r="181" spans="2:12" x14ac:dyDescent="0.2">
      <c r="D181" s="4"/>
    </row>
    <row r="182" spans="2:12" x14ac:dyDescent="0.2">
      <c r="B182" s="11" t="s">
        <v>240</v>
      </c>
      <c r="C182" s="13" t="s">
        <v>230</v>
      </c>
      <c r="G182" s="11" t="s">
        <v>251</v>
      </c>
      <c r="J182" s="13" t="s">
        <v>238</v>
      </c>
      <c r="K182" s="75"/>
    </row>
    <row r="183" spans="2:12" x14ac:dyDescent="0.2">
      <c r="B183" s="11" t="s">
        <v>89</v>
      </c>
      <c r="C183" s="13" t="s">
        <v>90</v>
      </c>
      <c r="G183" s="11" t="s">
        <v>252</v>
      </c>
      <c r="J183" s="11" t="s">
        <v>246</v>
      </c>
    </row>
    <row r="187" spans="2:12" x14ac:dyDescent="0.2">
      <c r="I187" s="4"/>
      <c r="K187" s="67"/>
      <c r="L187" s="4"/>
    </row>
    <row r="188" spans="2:12" x14ac:dyDescent="0.2">
      <c r="I188" s="4"/>
      <c r="K188" s="67"/>
      <c r="L188" s="4"/>
    </row>
    <row r="189" spans="2:12" x14ac:dyDescent="0.2">
      <c r="G189" s="60"/>
      <c r="I189" s="60"/>
      <c r="K189" s="68"/>
      <c r="L189" s="4"/>
    </row>
    <row r="190" spans="2:12" x14ac:dyDescent="0.2">
      <c r="G190" s="60"/>
      <c r="I190" s="60"/>
      <c r="K190" s="68"/>
      <c r="L190" s="4"/>
    </row>
    <row r="191" spans="2:12" x14ac:dyDescent="0.2">
      <c r="G191" s="60"/>
      <c r="L191" s="4"/>
    </row>
    <row r="192" spans="2:12" x14ac:dyDescent="0.2">
      <c r="G192" s="60"/>
    </row>
    <row r="193" spans="7:12" x14ac:dyDescent="0.2">
      <c r="G193" s="60"/>
    </row>
    <row r="194" spans="7:12" x14ac:dyDescent="0.2">
      <c r="G194" s="60"/>
      <c r="L194" s="4"/>
    </row>
    <row r="195" spans="7:12" x14ac:dyDescent="0.2">
      <c r="G195" s="60"/>
    </row>
    <row r="196" spans="7:12" x14ac:dyDescent="0.2">
      <c r="G196" s="60"/>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5" max="16383" man="1"/>
    <brk id="11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BF633-7E3B-4ADB-B1A9-BECE04CCDC39}">
  <dimension ref="A1:O207"/>
  <sheetViews>
    <sheetView zoomScaleNormal="100" workbookViewId="0">
      <selection activeCell="M10" sqref="M10"/>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f>
        <v>18800</v>
      </c>
      <c r="N10" s="29">
        <f t="shared" ref="N10:N22" si="1">L10-M10</f>
        <v>18200</v>
      </c>
      <c r="O10" s="28">
        <f>M10/$M$26</f>
        <v>1.6442660345828156E-2</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v>28839</v>
      </c>
      <c r="N12" s="29">
        <f t="shared" si="1"/>
        <v>1661</v>
      </c>
      <c r="O12" s="28">
        <f>M12/$M$26</f>
        <v>2.5222866048581816E-2</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f>
        <v>5923.5999999999995</v>
      </c>
      <c r="N15" s="29">
        <f t="shared" si="1"/>
        <v>2876.4000000000005</v>
      </c>
      <c r="O15" s="28">
        <f>M15/$M$26</f>
        <v>5.1808373842844495E-3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f>
        <v>1089804.69</v>
      </c>
      <c r="N18" s="29">
        <f t="shared" si="1"/>
        <v>2580144.83</v>
      </c>
      <c r="O18" s="28">
        <f>M18/$M$26</f>
        <v>0.95315363622130544</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c r="N20" s="29">
        <f t="shared" si="1"/>
        <v>1904175.88</v>
      </c>
      <c r="O20" s="28">
        <f>M20/$M$26</f>
        <v>0</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1143367.29</v>
      </c>
      <c r="N26" s="35">
        <f t="shared" si="2"/>
        <v>7115156.3299999991</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f>
        <v>251695.37999999998</v>
      </c>
      <c r="N31" s="29">
        <f t="shared" ref="N31:N100" si="3">L31-M31</f>
        <v>547876.66</v>
      </c>
      <c r="O31" s="39">
        <f>M31/$M$139</f>
        <v>0.31510475416044809</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f>
        <v>4500</v>
      </c>
      <c r="N32" s="29">
        <f t="shared" si="3"/>
        <v>9200</v>
      </c>
      <c r="O32" s="39">
        <f>M32/$M$139</f>
        <v>5.6336806568400913E-3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f>
        <v>84447.64</v>
      </c>
      <c r="N33" s="29">
        <f t="shared" si="3"/>
        <v>226652.36</v>
      </c>
      <c r="O33" s="39">
        <f>M33/$M$139</f>
        <v>0.10572245244084347</v>
      </c>
    </row>
    <row r="34" spans="1:15" ht="15.95" customHeight="1" x14ac:dyDescent="0.3">
      <c r="A34" s="42" t="s">
        <v>264</v>
      </c>
      <c r="B34" s="30" t="s">
        <v>265</v>
      </c>
      <c r="C34" s="29"/>
      <c r="D34" s="29"/>
      <c r="E34" s="29"/>
      <c r="F34" s="45">
        <v>15000</v>
      </c>
      <c r="G34" s="45"/>
      <c r="H34" s="29"/>
      <c r="I34" s="29"/>
      <c r="J34" s="45"/>
      <c r="K34" s="45"/>
      <c r="L34" s="29">
        <f t="shared" si="4"/>
        <v>15000</v>
      </c>
      <c r="M34" s="29">
        <v>823.9</v>
      </c>
      <c r="N34" s="29">
        <f t="shared" si="3"/>
        <v>14176.1</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c r="N36" s="29">
        <f t="shared" si="3"/>
        <v>17500</v>
      </c>
      <c r="O36" s="39">
        <f t="shared" ref="O36:O42" si="5">M36/$M$139</f>
        <v>0</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f>
        <v>7481.3099999999995</v>
      </c>
      <c r="N37" s="29">
        <f t="shared" si="3"/>
        <v>27029.490000000005</v>
      </c>
      <c r="O37" s="39">
        <f t="shared" si="5"/>
        <v>9.3660692077387423E-3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f>
        <v>27757.61</v>
      </c>
      <c r="N38" s="29">
        <f t="shared" si="3"/>
        <v>59643.539999999994</v>
      </c>
      <c r="O38" s="39">
        <f t="shared" si="5"/>
        <v>3.4750557897135798E-2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f>
        <v>2600</v>
      </c>
      <c r="N39" s="29">
        <f t="shared" si="3"/>
        <v>5590.84</v>
      </c>
      <c r="O39" s="39">
        <f t="shared" si="5"/>
        <v>3.2550154906187197E-3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c r="N41" s="29">
        <f t="shared" si="3"/>
        <v>67581.009999999995</v>
      </c>
      <c r="O41" s="39">
        <f t="shared" si="5"/>
        <v>0</v>
      </c>
    </row>
    <row r="42" spans="1:15" ht="15.95" customHeight="1" x14ac:dyDescent="0.2">
      <c r="A42" s="42" t="s">
        <v>47</v>
      </c>
      <c r="B42" s="30" t="s">
        <v>48</v>
      </c>
      <c r="C42" s="29">
        <v>4400</v>
      </c>
      <c r="D42" s="29"/>
      <c r="E42" s="29"/>
      <c r="F42" s="45"/>
      <c r="G42" s="45"/>
      <c r="H42" s="29"/>
      <c r="I42" s="29"/>
      <c r="J42" s="45"/>
      <c r="K42" s="45"/>
      <c r="L42" s="29">
        <f t="shared" si="4"/>
        <v>4400</v>
      </c>
      <c r="M42" s="29"/>
      <c r="N42" s="29">
        <f t="shared" si="3"/>
        <v>4400</v>
      </c>
      <c r="O42" s="39">
        <f t="shared" si="5"/>
        <v>0</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f>
        <v>4114.8499999999995</v>
      </c>
      <c r="N46" s="29">
        <f t="shared" si="3"/>
        <v>9635.1500000000015</v>
      </c>
      <c r="O46" s="39">
        <f t="shared" ref="O46:O55" si="7">M46/$M$139</f>
        <v>5.1515001890663215E-3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f>
        <v>6535.62</v>
      </c>
      <c r="N47" s="29">
        <f t="shared" si="3"/>
        <v>19564.38</v>
      </c>
      <c r="O47" s="39">
        <f t="shared" si="7"/>
        <v>8.1821324387682751E-3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3.8309028466512623E-3</v>
      </c>
    </row>
    <row r="50" spans="1:15" ht="15.95" customHeight="1" x14ac:dyDescent="0.2">
      <c r="A50" s="42" t="s">
        <v>96</v>
      </c>
      <c r="B50" s="30" t="s">
        <v>161</v>
      </c>
      <c r="C50" s="29">
        <v>14250</v>
      </c>
      <c r="D50" s="29"/>
      <c r="E50" s="29"/>
      <c r="F50" s="45"/>
      <c r="G50" s="45"/>
      <c r="H50" s="29"/>
      <c r="I50" s="29"/>
      <c r="J50" s="45"/>
      <c r="K50" s="45"/>
      <c r="L50" s="29">
        <f t="shared" si="6"/>
        <v>14250</v>
      </c>
      <c r="M50" s="29">
        <f>18.9+13.5+13.5+152.35</f>
        <v>198.25</v>
      </c>
      <c r="N50" s="29">
        <f t="shared" si="3"/>
        <v>14051.75</v>
      </c>
      <c r="O50" s="39">
        <f t="shared" si="7"/>
        <v>2.4819493115967739E-4</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c r="N51" s="29">
        <f t="shared" si="3"/>
        <v>617841.54999999993</v>
      </c>
      <c r="O51" s="39">
        <f t="shared" si="7"/>
        <v>0</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v>2894.44</v>
      </c>
      <c r="N52" s="29">
        <f t="shared" si="3"/>
        <v>560848.26</v>
      </c>
      <c r="O52" s="39">
        <f t="shared" si="7"/>
        <v>3.6236334756409409E-3</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f>
        <v>36602.71</v>
      </c>
      <c r="N53" s="29">
        <f t="shared" si="3"/>
        <v>464382.66</v>
      </c>
      <c r="O53" s="39">
        <f t="shared" si="7"/>
        <v>4.5823995403317198E-2</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c r="N54" s="29">
        <f t="shared" si="3"/>
        <v>50000</v>
      </c>
      <c r="O54" s="39">
        <f t="shared" si="7"/>
        <v>0</v>
      </c>
    </row>
    <row r="55" spans="1:15" ht="15.95" customHeight="1" x14ac:dyDescent="0.2">
      <c r="A55" s="42" t="s">
        <v>101</v>
      </c>
      <c r="B55" s="30" t="s">
        <v>55</v>
      </c>
      <c r="C55" s="29">
        <v>75000</v>
      </c>
      <c r="D55" s="29"/>
      <c r="E55" s="29"/>
      <c r="F55" s="45"/>
      <c r="G55" s="45"/>
      <c r="H55" s="29"/>
      <c r="I55" s="29"/>
      <c r="J55" s="45"/>
      <c r="K55" s="45"/>
      <c r="L55" s="29">
        <f>C55+D55-E55+F55-G55+H55+J55-I55-K55</f>
        <v>75000</v>
      </c>
      <c r="M55" s="29"/>
      <c r="N55" s="29">
        <f t="shared" si="3"/>
        <v>75000</v>
      </c>
      <c r="O55" s="39">
        <f t="shared" si="7"/>
        <v>0</v>
      </c>
    </row>
    <row r="56" spans="1:15" ht="15.95" customHeight="1" x14ac:dyDescent="0.2">
      <c r="A56" s="42">
        <v>151</v>
      </c>
      <c r="B56" s="30" t="s">
        <v>249</v>
      </c>
      <c r="C56" s="29">
        <v>90000</v>
      </c>
      <c r="D56" s="29"/>
      <c r="E56" s="29"/>
      <c r="F56" s="45"/>
      <c r="G56" s="45"/>
      <c r="H56" s="29"/>
      <c r="I56" s="29"/>
      <c r="J56" s="45"/>
      <c r="K56" s="45"/>
      <c r="L56" s="29">
        <f t="shared" si="6"/>
        <v>90000</v>
      </c>
      <c r="M56" s="29"/>
      <c r="N56" s="29">
        <f t="shared" si="3"/>
        <v>90000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5.2581019463840851E-3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f>
        <v>4350</v>
      </c>
      <c r="N59" s="29">
        <f t="shared" si="3"/>
        <v>3400</v>
      </c>
      <c r="O59" s="39">
        <f t="shared" si="8"/>
        <v>5.4458913016120882E-3</v>
      </c>
    </row>
    <row r="60" spans="1:15" ht="15.95" customHeight="1" x14ac:dyDescent="0.2">
      <c r="A60" s="42" t="s">
        <v>105</v>
      </c>
      <c r="B60" s="30" t="s">
        <v>166</v>
      </c>
      <c r="C60" s="29">
        <v>7000</v>
      </c>
      <c r="D60" s="29"/>
      <c r="E60" s="29"/>
      <c r="F60" s="45"/>
      <c r="G60" s="45"/>
      <c r="H60" s="29"/>
      <c r="I60" s="29"/>
      <c r="J60" s="45"/>
      <c r="K60" s="45"/>
      <c r="L60" s="29">
        <f t="shared" si="6"/>
        <v>7000</v>
      </c>
      <c r="M60" s="29">
        <v>10354.57</v>
      </c>
      <c r="N60" s="29">
        <f t="shared" si="3"/>
        <v>-3354.5699999999997</v>
      </c>
      <c r="O60" s="39">
        <f t="shared" si="8"/>
        <v>1.296318682642149E-2</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2.078202197856567E-3</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f>
        <v>18000</v>
      </c>
      <c r="N68" s="29">
        <f t="shared" si="3"/>
        <v>36000</v>
      </c>
      <c r="O68" s="39">
        <f t="shared" si="9"/>
        <v>2.2534722627360365E-2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f>
        <v>18000</v>
      </c>
      <c r="N69" s="29">
        <f t="shared" si="3"/>
        <v>36000</v>
      </c>
      <c r="O69" s="39">
        <f t="shared" si="9"/>
        <v>2.2534722627360365E-2</v>
      </c>
    </row>
    <row r="70" spans="1:15" ht="15.95" customHeight="1" x14ac:dyDescent="0.2">
      <c r="A70" s="42" t="s">
        <v>112</v>
      </c>
      <c r="B70" s="30" t="s">
        <v>57</v>
      </c>
      <c r="C70" s="29">
        <v>7500</v>
      </c>
      <c r="D70" s="29"/>
      <c r="E70" s="29"/>
      <c r="F70" s="45"/>
      <c r="G70" s="45"/>
      <c r="H70" s="29"/>
      <c r="I70" s="29"/>
      <c r="J70" s="45"/>
      <c r="K70" s="45"/>
      <c r="L70" s="29">
        <f t="shared" si="6"/>
        <v>7500</v>
      </c>
      <c r="M70" s="29">
        <v>117.6</v>
      </c>
      <c r="N70" s="29">
        <f t="shared" si="3"/>
        <v>7382.4</v>
      </c>
      <c r="O70" s="39">
        <f t="shared" si="9"/>
        <v>1.4722685449875439E-4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f>
        <v>188768.76</v>
      </c>
      <c r="N72" s="29">
        <f t="shared" si="3"/>
        <v>674531.24</v>
      </c>
      <c r="O72" s="39">
        <f t="shared" si="9"/>
        <v>0.23632509151726436</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f>
        <v>263.40000000000003</v>
      </c>
      <c r="N76" s="29">
        <f t="shared" si="3"/>
        <v>2236.6</v>
      </c>
      <c r="O76" s="39">
        <f t="shared" si="9"/>
        <v>3.2975810778037342E-4</v>
      </c>
    </row>
    <row r="77" spans="1:15" ht="15.95" customHeight="1" x14ac:dyDescent="0.2">
      <c r="A77" s="42" t="s">
        <v>119</v>
      </c>
      <c r="B77" s="30" t="s">
        <v>59</v>
      </c>
      <c r="C77" s="29">
        <v>125000</v>
      </c>
      <c r="D77" s="29"/>
      <c r="E77" s="29"/>
      <c r="F77" s="45"/>
      <c r="G77" s="45"/>
      <c r="H77" s="29"/>
      <c r="I77" s="29"/>
      <c r="J77" s="45"/>
      <c r="K77" s="45"/>
      <c r="L77" s="29">
        <f t="shared" si="6"/>
        <v>125000</v>
      </c>
      <c r="M77" s="29">
        <f>35.1+230.2</f>
        <v>265.3</v>
      </c>
      <c r="N77" s="29">
        <f t="shared" si="3"/>
        <v>124734.7</v>
      </c>
      <c r="O77" s="39">
        <f t="shared" si="9"/>
        <v>3.3213677294659477E-4</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f>
        <v>155.4</v>
      </c>
      <c r="N80" s="29">
        <f t="shared" si="3"/>
        <v>50844.6</v>
      </c>
      <c r="O80" s="39">
        <f t="shared" si="9"/>
        <v>1.9454977201621118E-4</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f>
        <v>9173.9</v>
      </c>
      <c r="N84" s="29">
        <f t="shared" si="3"/>
        <v>137610.20000000001</v>
      </c>
      <c r="O84" s="39">
        <f t="shared" ref="O84:O120" si="12">M84/$M$139</f>
        <v>1.1485071772841181E-2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c r="N89" s="29">
        <f t="shared" si="3"/>
        <v>33800</v>
      </c>
      <c r="O89" s="39">
        <f t="shared" si="12"/>
        <v>0</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f>
        <v>970</v>
      </c>
      <c r="N90" s="29">
        <f t="shared" si="3"/>
        <v>4280</v>
      </c>
      <c r="O90" s="39">
        <f t="shared" si="12"/>
        <v>1.2143711638077531E-3</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f>
        <v>2483.02</v>
      </c>
      <c r="N91" s="29">
        <f t="shared" si="3"/>
        <v>8016.98</v>
      </c>
      <c r="O91" s="39">
        <f t="shared" si="12"/>
        <v>3.1085648321215742E-3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f>
        <v>905</v>
      </c>
      <c r="N92" s="29">
        <f t="shared" si="3"/>
        <v>2145</v>
      </c>
      <c r="O92" s="39">
        <f t="shared" si="12"/>
        <v>1.132995776542285E-3</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c r="N96" s="29">
        <f t="shared" si="3"/>
        <v>2800</v>
      </c>
      <c r="O96" s="39">
        <f t="shared" si="12"/>
        <v>0</v>
      </c>
    </row>
    <row r="97" spans="1:15" ht="15.95" customHeight="1" x14ac:dyDescent="0.2">
      <c r="A97" s="42" t="s">
        <v>131</v>
      </c>
      <c r="B97" s="30" t="s">
        <v>68</v>
      </c>
      <c r="C97" s="29">
        <v>8500</v>
      </c>
      <c r="D97" s="29"/>
      <c r="E97" s="29"/>
      <c r="F97" s="45"/>
      <c r="G97" s="45"/>
      <c r="H97" s="29"/>
      <c r="I97" s="29"/>
      <c r="J97" s="45"/>
      <c r="K97" s="45"/>
      <c r="L97" s="29">
        <f t="shared" si="11"/>
        <v>8500</v>
      </c>
      <c r="M97" s="29">
        <f>270+340.02+1364.45+745</f>
        <v>2719.4700000000003</v>
      </c>
      <c r="N97" s="29">
        <f t="shared" si="3"/>
        <v>5780.53</v>
      </c>
      <c r="O97" s="39">
        <f t="shared" si="12"/>
        <v>3.40458345241265E-3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f>
        <v>1782.9</v>
      </c>
      <c r="N99" s="29">
        <f t="shared" si="3"/>
        <v>15717.1</v>
      </c>
      <c r="O99" s="39">
        <f t="shared" si="12"/>
        <v>2.2320642762400445E-3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f>
        <v>253.93</v>
      </c>
      <c r="N100" s="29">
        <f t="shared" si="3"/>
        <v>2746.07</v>
      </c>
      <c r="O100" s="39">
        <f t="shared" si="12"/>
        <v>3.1790233982031209E-4</v>
      </c>
    </row>
    <row r="101" spans="1:15" ht="15.95" customHeight="1" x14ac:dyDescent="0.2">
      <c r="A101" s="42" t="s">
        <v>135</v>
      </c>
      <c r="B101" s="30" t="s">
        <v>201</v>
      </c>
      <c r="C101" s="29">
        <v>1500</v>
      </c>
      <c r="D101" s="29"/>
      <c r="E101" s="29"/>
      <c r="F101" s="45"/>
      <c r="G101" s="45"/>
      <c r="H101" s="29"/>
      <c r="I101" s="29"/>
      <c r="J101" s="45"/>
      <c r="K101" s="45"/>
      <c r="L101" s="29">
        <f t="shared" si="11"/>
        <v>1500</v>
      </c>
      <c r="M101" s="29">
        <v>158</v>
      </c>
      <c r="N101" s="29">
        <f t="shared" ref="N101:N138" si="15">L101-M101</f>
        <v>1342</v>
      </c>
      <c r="O101" s="39">
        <f t="shared" si="12"/>
        <v>1.9780478750682989E-4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c r="N102" s="29">
        <f t="shared" si="15"/>
        <v>600000</v>
      </c>
      <c r="O102" s="39">
        <f t="shared" si="12"/>
        <v>0</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f>
        <v>87.61999999999999</v>
      </c>
      <c r="N109" s="29">
        <f t="shared" si="15"/>
        <v>4712.38</v>
      </c>
      <c r="O109" s="39">
        <f t="shared" si="12"/>
        <v>1.0969402203385084E-4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v>73800</v>
      </c>
      <c r="N111" s="29">
        <f t="shared" si="15"/>
        <v>1226200</v>
      </c>
      <c r="O111" s="39">
        <f t="shared" si="12"/>
        <v>9.2392362772177508E-2</v>
      </c>
    </row>
    <row r="112" spans="1:15" ht="15.95" customHeight="1" x14ac:dyDescent="0.2">
      <c r="A112" s="42">
        <v>286</v>
      </c>
      <c r="B112" s="30" t="s">
        <v>208</v>
      </c>
      <c r="C112" s="29">
        <v>1500</v>
      </c>
      <c r="D112" s="29"/>
      <c r="E112" s="29"/>
      <c r="F112" s="45"/>
      <c r="G112" s="45"/>
      <c r="H112" s="29"/>
      <c r="I112" s="29"/>
      <c r="J112" s="45"/>
      <c r="K112" s="45"/>
      <c r="L112" s="29">
        <f t="shared" si="11"/>
        <v>1500</v>
      </c>
      <c r="M112" s="29">
        <v>75</v>
      </c>
      <c r="N112" s="29">
        <f t="shared" si="15"/>
        <v>1425</v>
      </c>
      <c r="O112" s="39">
        <f t="shared" si="12"/>
        <v>9.3894677614001523E-5</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f>
        <v>725.9</v>
      </c>
      <c r="N114" s="29">
        <f t="shared" si="15"/>
        <v>5874.1</v>
      </c>
      <c r="O114" s="39">
        <f t="shared" si="12"/>
        <v>9.0877528640004941E-4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f>
        <v>315.24</v>
      </c>
      <c r="N115" s="29">
        <f t="shared" si="15"/>
        <v>3684.76</v>
      </c>
      <c r="O115" s="39">
        <f t="shared" si="12"/>
        <v>3.9465810894717121E-4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c r="N116" s="29">
        <f t="shared" si="15"/>
        <v>25251.9</v>
      </c>
      <c r="O116" s="39">
        <f t="shared" si="12"/>
        <v>0</v>
      </c>
    </row>
    <row r="117" spans="1:15" ht="15.95" customHeight="1" x14ac:dyDescent="0.2">
      <c r="A117" s="42" t="s">
        <v>144</v>
      </c>
      <c r="B117" s="30" t="s">
        <v>76</v>
      </c>
      <c r="C117" s="29">
        <v>2000</v>
      </c>
      <c r="D117" s="29"/>
      <c r="E117" s="29"/>
      <c r="F117" s="45"/>
      <c r="G117" s="45"/>
      <c r="H117" s="29"/>
      <c r="I117" s="29"/>
      <c r="J117" s="45"/>
      <c r="K117" s="45"/>
      <c r="L117" s="29">
        <f t="shared" si="11"/>
        <v>2000</v>
      </c>
      <c r="M117" s="29"/>
      <c r="N117" s="29">
        <f t="shared" si="15"/>
        <v>2000</v>
      </c>
      <c r="O117" s="39">
        <f t="shared" si="12"/>
        <v>0</v>
      </c>
    </row>
    <row r="118" spans="1:15" ht="15.95" customHeight="1" x14ac:dyDescent="0.2">
      <c r="A118" s="42" t="s">
        <v>145</v>
      </c>
      <c r="B118" s="30" t="s">
        <v>211</v>
      </c>
      <c r="C118" s="29">
        <v>9500</v>
      </c>
      <c r="D118" s="29"/>
      <c r="E118" s="29"/>
      <c r="F118" s="45"/>
      <c r="G118" s="45"/>
      <c r="H118" s="29"/>
      <c r="I118" s="29"/>
      <c r="J118" s="45"/>
      <c r="K118" s="45"/>
      <c r="L118" s="29">
        <f t="shared" si="11"/>
        <v>9500</v>
      </c>
      <c r="M118" s="29"/>
      <c r="N118" s="29">
        <f t="shared" si="15"/>
        <v>9500</v>
      </c>
      <c r="O118" s="39">
        <f t="shared" si="12"/>
        <v>0</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c r="N119" s="29">
        <f t="shared" si="15"/>
        <v>100000</v>
      </c>
      <c r="O119" s="39">
        <f t="shared" si="12"/>
        <v>0</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f>
        <v>228.6</v>
      </c>
      <c r="N120" s="29">
        <f t="shared" si="15"/>
        <v>9271.4</v>
      </c>
      <c r="O120" s="39">
        <f t="shared" si="12"/>
        <v>2.8619097736747663E-4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c r="N125" s="29">
        <f t="shared" si="15"/>
        <v>10000</v>
      </c>
      <c r="O125" s="39">
        <f>M125/$M$139</f>
        <v>0</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c r="N127" s="29">
        <f t="shared" si="15"/>
        <v>304035</v>
      </c>
      <c r="O127" s="39">
        <f>M127/$M$139</f>
        <v>0</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2.9723299145488324E-2</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c r="N135" s="29">
        <f t="shared" si="15"/>
        <v>185900</v>
      </c>
      <c r="O135" s="39">
        <f>M135/$M$139</f>
        <v>0</v>
      </c>
    </row>
    <row r="136" spans="1:15" ht="15.95" customHeight="1" x14ac:dyDescent="0.2">
      <c r="A136" s="42" t="s">
        <v>224</v>
      </c>
      <c r="B136" s="30" t="s">
        <v>225</v>
      </c>
      <c r="C136" s="29">
        <v>7170</v>
      </c>
      <c r="D136" s="29"/>
      <c r="E136" s="29"/>
      <c r="F136" s="29"/>
      <c r="G136" s="29"/>
      <c r="H136" s="29"/>
      <c r="I136" s="29"/>
      <c r="J136" s="45"/>
      <c r="K136" s="45"/>
      <c r="L136" s="29">
        <f t="shared" si="18"/>
        <v>7170</v>
      </c>
      <c r="M136" s="29"/>
      <c r="N136" s="29">
        <f t="shared" si="15"/>
        <v>7170</v>
      </c>
      <c r="O136" s="39">
        <f>M136/$M$139</f>
        <v>0</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f>
        <v>2500</v>
      </c>
      <c r="N137" s="29">
        <f t="shared" si="15"/>
        <v>67500</v>
      </c>
      <c r="O137" s="39">
        <f>M137/$M$139</f>
        <v>3.1298225871333844E-3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c r="N138" s="29">
        <f t="shared" si="15"/>
        <v>8750</v>
      </c>
      <c r="O138" s="39">
        <f>M138/$M$139</f>
        <v>0</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798767.32000000007</v>
      </c>
      <c r="N139" s="35">
        <f t="shared" si="20"/>
        <v>7459756.2999999998</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55" t="s">
        <v>85</v>
      </c>
      <c r="B151" s="53"/>
      <c r="C151" s="70">
        <f>M26</f>
        <v>1143367.29</v>
      </c>
      <c r="D151" s="48"/>
      <c r="E151" s="4"/>
      <c r="F151" s="4"/>
      <c r="G151" s="4"/>
      <c r="H151" s="4"/>
      <c r="I151" s="4"/>
      <c r="J151" s="67"/>
      <c r="K151" s="67"/>
      <c r="L151" s="4"/>
    </row>
    <row r="152" spans="1:13" x14ac:dyDescent="0.2">
      <c r="A152" s="55" t="s">
        <v>86</v>
      </c>
      <c r="B152" s="53"/>
      <c r="C152" s="71">
        <f>-M139</f>
        <v>-798767.32000000007</v>
      </c>
      <c r="D152" s="4"/>
      <c r="E152" s="4"/>
      <c r="F152" s="4"/>
      <c r="G152" s="4"/>
      <c r="H152" s="4"/>
      <c r="I152" s="4"/>
      <c r="J152" s="67"/>
      <c r="K152" s="67"/>
      <c r="L152" s="4"/>
    </row>
    <row r="153" spans="1:13" ht="15.75" x14ac:dyDescent="0.25">
      <c r="A153" s="56" t="s">
        <v>87</v>
      </c>
      <c r="B153" s="57"/>
      <c r="C153" s="72">
        <f>SUM(C147:C152)</f>
        <v>2857050.17</v>
      </c>
      <c r="D153" s="4"/>
      <c r="E153" s="4"/>
      <c r="F153" s="4"/>
      <c r="G153" s="4"/>
      <c r="H153" s="4"/>
      <c r="I153" s="4"/>
      <c r="J153" s="67"/>
      <c r="K153" s="67"/>
      <c r="L153" s="4"/>
    </row>
    <row r="154" spans="1:13" ht="15.75" x14ac:dyDescent="0.25">
      <c r="A154" s="56"/>
      <c r="B154" s="57"/>
      <c r="C154" s="72"/>
      <c r="D154" s="4"/>
      <c r="E154" s="4"/>
      <c r="F154" s="4"/>
      <c r="G154" s="4"/>
      <c r="H154" s="4"/>
      <c r="I154" s="4"/>
      <c r="J154" s="67"/>
      <c r="K154" s="67"/>
      <c r="L154" s="4"/>
    </row>
    <row r="155" spans="1:13" x14ac:dyDescent="0.2">
      <c r="A155" s="52" t="s">
        <v>88</v>
      </c>
      <c r="B155" s="53"/>
      <c r="C155" s="70"/>
      <c r="D155" s="4"/>
      <c r="E155" s="4"/>
      <c r="F155" s="4"/>
      <c r="G155" s="4"/>
      <c r="H155" s="4"/>
      <c r="I155" s="4"/>
      <c r="J155" s="67"/>
      <c r="K155" s="67"/>
      <c r="L155" s="4"/>
    </row>
    <row r="156" spans="1:13" ht="12" customHeight="1" x14ac:dyDescent="0.2">
      <c r="A156" s="55" t="s">
        <v>148</v>
      </c>
      <c r="B156" s="53"/>
      <c r="C156" s="70">
        <v>272</v>
      </c>
      <c r="D156" s="4"/>
      <c r="E156" s="4"/>
      <c r="F156" s="4"/>
      <c r="G156" s="4"/>
      <c r="H156" s="4"/>
      <c r="I156" s="4"/>
      <c r="J156" s="67"/>
      <c r="K156" s="67"/>
      <c r="L156" s="4"/>
    </row>
    <row r="157" spans="1:13" ht="12" customHeight="1" x14ac:dyDescent="0.2">
      <c r="A157" s="55" t="s">
        <v>245</v>
      </c>
      <c r="B157" s="53"/>
      <c r="C157" s="70"/>
      <c r="D157" s="4"/>
      <c r="E157" s="4"/>
      <c r="F157" s="4"/>
      <c r="G157" s="4"/>
      <c r="H157" s="4"/>
      <c r="I157" s="4"/>
      <c r="J157" s="67"/>
      <c r="K157" s="67"/>
      <c r="L157" s="4"/>
    </row>
    <row r="158" spans="1:13" ht="12" customHeight="1" x14ac:dyDescent="0.2">
      <c r="A158" s="55" t="s">
        <v>253</v>
      </c>
      <c r="B158" s="53"/>
      <c r="C158" s="70">
        <v>12535.81</v>
      </c>
      <c r="D158" s="4"/>
      <c r="E158" s="4"/>
      <c r="F158" s="4"/>
      <c r="G158" s="4"/>
      <c r="H158" s="4"/>
      <c r="I158" s="4"/>
      <c r="J158" s="67"/>
      <c r="K158" s="67"/>
      <c r="L158" s="4"/>
    </row>
    <row r="159" spans="1:13" x14ac:dyDescent="0.2">
      <c r="A159" s="55" t="s">
        <v>151</v>
      </c>
      <c r="B159" s="53"/>
      <c r="C159" s="70">
        <f>7174.86+3247.84+672.43-0.06</f>
        <v>11095.070000000002</v>
      </c>
      <c r="D159" s="80"/>
      <c r="E159" s="4"/>
      <c r="F159" s="4"/>
      <c r="G159" s="4"/>
      <c r="H159" s="4"/>
      <c r="I159" s="4"/>
      <c r="J159" s="67"/>
      <c r="K159" s="67"/>
      <c r="L159" s="4"/>
    </row>
    <row r="160" spans="1:13" x14ac:dyDescent="0.2">
      <c r="A160" s="55" t="s">
        <v>150</v>
      </c>
      <c r="B160" s="53"/>
      <c r="C160" s="70">
        <v>1919.07</v>
      </c>
      <c r="D160" s="81"/>
      <c r="E160" s="4"/>
      <c r="F160" s="4"/>
      <c r="G160" s="4"/>
      <c r="H160" s="4"/>
      <c r="I160" s="4"/>
      <c r="J160" s="67"/>
      <c r="K160" s="67"/>
      <c r="L160" s="4"/>
    </row>
    <row r="161" spans="1:13" x14ac:dyDescent="0.2">
      <c r="A161" s="55" t="s">
        <v>149</v>
      </c>
      <c r="B161" s="53"/>
      <c r="C161" s="70">
        <v>5611.64</v>
      </c>
      <c r="D161" s="81"/>
      <c r="E161" s="4"/>
      <c r="F161" s="4"/>
      <c r="G161" s="4"/>
      <c r="H161" s="4"/>
      <c r="I161" s="4"/>
      <c r="J161" s="67"/>
      <c r="K161" s="67"/>
      <c r="L161" s="4"/>
    </row>
    <row r="162" spans="1:13" x14ac:dyDescent="0.2">
      <c r="A162" s="55" t="s">
        <v>257</v>
      </c>
      <c r="B162" s="53"/>
      <c r="C162" s="70"/>
      <c r="D162" s="81"/>
      <c r="E162" s="4"/>
      <c r="F162" s="4"/>
      <c r="G162" s="4"/>
      <c r="H162" s="4"/>
      <c r="I162" s="4"/>
      <c r="J162" s="67"/>
      <c r="K162" s="67"/>
      <c r="L162" s="4"/>
    </row>
    <row r="163" spans="1:13" x14ac:dyDescent="0.2">
      <c r="A163" s="55" t="s">
        <v>261</v>
      </c>
      <c r="B163" s="53"/>
      <c r="C163" s="70"/>
      <c r="D163" s="81"/>
      <c r="E163" s="4"/>
      <c r="F163" s="4"/>
      <c r="G163" s="4"/>
      <c r="H163" s="4"/>
      <c r="I163" s="4"/>
      <c r="J163" s="67"/>
      <c r="K163" s="67"/>
      <c r="L163" s="4"/>
    </row>
    <row r="164" spans="1:13" x14ac:dyDescent="0.2">
      <c r="A164" s="55"/>
      <c r="B164" s="53"/>
      <c r="C164" s="70"/>
      <c r="D164" s="81"/>
      <c r="E164" s="4"/>
      <c r="F164" s="4"/>
      <c r="G164" s="4"/>
      <c r="H164" s="4"/>
      <c r="I164" s="4"/>
      <c r="J164" s="67"/>
      <c r="K164" s="67"/>
      <c r="L164" s="4"/>
    </row>
    <row r="165" spans="1:13" x14ac:dyDescent="0.2">
      <c r="A165" s="55"/>
      <c r="B165" s="53"/>
      <c r="C165" s="71"/>
      <c r="D165" s="82"/>
      <c r="E165" s="83"/>
      <c r="F165" s="4"/>
      <c r="G165" s="4"/>
      <c r="H165" s="4"/>
      <c r="I165" s="4"/>
      <c r="J165" s="67"/>
      <c r="K165" s="67"/>
      <c r="L165" s="4"/>
    </row>
    <row r="166" spans="1:13" ht="15.75" x14ac:dyDescent="0.25">
      <c r="A166" s="56"/>
      <c r="B166" s="57"/>
      <c r="C166" s="72">
        <f>SUM(C156:C165)</f>
        <v>31433.59</v>
      </c>
      <c r="D166" s="82"/>
      <c r="E166" s="83"/>
      <c r="F166" s="4"/>
      <c r="G166" s="4"/>
      <c r="H166" s="4"/>
      <c r="I166" s="4"/>
      <c r="J166" s="67"/>
      <c r="K166" s="67"/>
      <c r="L166" s="4"/>
    </row>
    <row r="167" spans="1:13" ht="2.1" customHeight="1" x14ac:dyDescent="0.25">
      <c r="A167" s="56"/>
      <c r="B167" s="57"/>
      <c r="C167" s="73"/>
      <c r="D167" s="81"/>
      <c r="E167" s="4"/>
      <c r="F167" s="4"/>
      <c r="G167" s="4"/>
      <c r="H167" s="4"/>
      <c r="I167" s="4"/>
      <c r="J167" s="67"/>
      <c r="K167" s="67"/>
      <c r="L167" s="4"/>
    </row>
    <row r="168" spans="1:13" x14ac:dyDescent="0.2">
      <c r="A168" s="55"/>
      <c r="B168" s="53"/>
      <c r="C168" s="70"/>
      <c r="D168" s="81"/>
      <c r="E168" s="4"/>
      <c r="F168" s="4"/>
      <c r="G168" s="4"/>
      <c r="H168" s="4"/>
      <c r="I168" s="4"/>
      <c r="J168" s="67"/>
      <c r="K168" s="67"/>
      <c r="L168" s="4"/>
    </row>
    <row r="169" spans="1:13" ht="2.1" customHeight="1" thickBot="1" x14ac:dyDescent="0.3">
      <c r="A169" s="58" t="s">
        <v>242</v>
      </c>
      <c r="B169" s="59"/>
      <c r="C169" s="69">
        <f>C153+C166</f>
        <v>2888483.76</v>
      </c>
      <c r="D169" s="80"/>
      <c r="E169" s="4"/>
      <c r="F169" s="4"/>
      <c r="G169" s="4"/>
      <c r="H169" s="4"/>
      <c r="I169" s="4"/>
      <c r="J169" s="67"/>
      <c r="K169" s="67"/>
      <c r="L169" s="4"/>
    </row>
    <row r="170" spans="1:13" ht="9.9499999999999993" customHeight="1" x14ac:dyDescent="0.2">
      <c r="A170" s="55"/>
      <c r="B170" s="53"/>
      <c r="C170" s="70"/>
      <c r="D170" s="80"/>
      <c r="E170" s="4"/>
      <c r="F170" s="4"/>
      <c r="G170" s="4"/>
      <c r="H170" s="4"/>
      <c r="I170" s="4"/>
      <c r="J170" s="67"/>
      <c r="K170" s="67"/>
      <c r="L170" s="4"/>
    </row>
    <row r="171" spans="1:13" ht="16.5" thickBot="1" x14ac:dyDescent="0.3">
      <c r="A171" s="58" t="s">
        <v>263</v>
      </c>
      <c r="B171" s="59"/>
      <c r="C171" s="69">
        <f>C153+C166</f>
        <v>2888483.76</v>
      </c>
      <c r="D171" s="82"/>
      <c r="E171" s="4"/>
      <c r="F171" s="4"/>
      <c r="G171" s="4"/>
      <c r="H171" s="4"/>
      <c r="I171" s="4"/>
      <c r="J171" s="67"/>
      <c r="K171" s="67"/>
      <c r="L171" s="4"/>
      <c r="M171" s="4"/>
    </row>
    <row r="172" spans="1:13" x14ac:dyDescent="0.2">
      <c r="A172" s="53"/>
      <c r="C172" s="4"/>
      <c r="D172" s="4"/>
      <c r="E172" s="4"/>
      <c r="F172" s="4"/>
      <c r="G172" s="4"/>
      <c r="H172" s="4"/>
      <c r="I172" s="4"/>
      <c r="J172" s="67"/>
      <c r="K172" s="67"/>
      <c r="L172" s="4"/>
    </row>
    <row r="173" spans="1:13" x14ac:dyDescent="0.2">
      <c r="C173" s="4"/>
      <c r="D173" s="4"/>
      <c r="E173" s="4"/>
    </row>
    <row r="174" spans="1:13" x14ac:dyDescent="0.2">
      <c r="C174" s="14"/>
      <c r="D174" s="4"/>
    </row>
    <row r="175" spans="1:13" x14ac:dyDescent="0.2">
      <c r="C175" s="14"/>
      <c r="D175" s="4"/>
    </row>
    <row r="176" spans="1:13" x14ac:dyDescent="0.2">
      <c r="C176" s="15"/>
      <c r="D176" s="4"/>
      <c r="I176" s="4"/>
      <c r="K176" s="67"/>
      <c r="L176" s="4"/>
    </row>
    <row r="177" spans="2:12" x14ac:dyDescent="0.2">
      <c r="C177" s="15"/>
      <c r="D177" s="4"/>
    </row>
    <row r="178" spans="2:12" x14ac:dyDescent="0.2">
      <c r="C178" s="15"/>
      <c r="D178" s="4"/>
    </row>
    <row r="179" spans="2:12" x14ac:dyDescent="0.2">
      <c r="C179" s="15"/>
      <c r="D179" s="4"/>
    </row>
    <row r="180" spans="2:12" x14ac:dyDescent="0.2">
      <c r="C180" s="15"/>
      <c r="D180" s="4"/>
    </row>
    <row r="181" spans="2:12" x14ac:dyDescent="0.2">
      <c r="D181" s="4"/>
    </row>
    <row r="182" spans="2:12" x14ac:dyDescent="0.2">
      <c r="D182" s="4"/>
    </row>
    <row r="183" spans="2:12" x14ac:dyDescent="0.2">
      <c r="B183" s="11" t="s">
        <v>240</v>
      </c>
      <c r="C183" s="13" t="s">
        <v>230</v>
      </c>
      <c r="G183" s="11" t="s">
        <v>251</v>
      </c>
      <c r="J183" s="13" t="s">
        <v>238</v>
      </c>
      <c r="K183" s="75"/>
    </row>
    <row r="184" spans="2:12" x14ac:dyDescent="0.2">
      <c r="B184" s="11" t="s">
        <v>89</v>
      </c>
      <c r="C184" s="13" t="s">
        <v>90</v>
      </c>
      <c r="G184" s="11" t="s">
        <v>252</v>
      </c>
      <c r="J184" s="11" t="s">
        <v>246</v>
      </c>
    </row>
    <row r="188" spans="2:12" x14ac:dyDescent="0.2">
      <c r="I188" s="4"/>
      <c r="K188" s="67"/>
      <c r="L188" s="4"/>
    </row>
    <row r="189" spans="2:12" x14ac:dyDescent="0.2">
      <c r="I189" s="4"/>
      <c r="K189" s="67"/>
      <c r="L189" s="4"/>
    </row>
    <row r="190" spans="2:12" x14ac:dyDescent="0.2">
      <c r="G190" s="60"/>
      <c r="I190" s="60"/>
      <c r="K190" s="68"/>
      <c r="L190" s="4"/>
    </row>
    <row r="191" spans="2:12" x14ac:dyDescent="0.2">
      <c r="G191" s="60"/>
      <c r="I191" s="60"/>
      <c r="K191" s="68"/>
      <c r="L191" s="4"/>
    </row>
    <row r="192" spans="2:12" x14ac:dyDescent="0.2">
      <c r="G192" s="60"/>
      <c r="L192" s="4"/>
    </row>
    <row r="193" spans="7:12" x14ac:dyDescent="0.2">
      <c r="G193" s="60"/>
    </row>
    <row r="194" spans="7:12" x14ac:dyDescent="0.2">
      <c r="G194" s="60"/>
    </row>
    <row r="195" spans="7:12" x14ac:dyDescent="0.2">
      <c r="G195" s="60"/>
      <c r="L195" s="4"/>
    </row>
    <row r="196" spans="7:12" x14ac:dyDescent="0.2">
      <c r="G196" s="60"/>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ignoredErrors>
    <ignoredError sqref="M2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FDBDC-7F8A-4124-A4FD-50A2B8DFF508}">
  <dimension ref="A1:O207"/>
  <sheetViews>
    <sheetView topLeftCell="A16" zoomScaleNormal="100" workbookViewId="0">
      <selection activeCell="C173" sqref="C173:C174"/>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12800+3800-400+2400+200+1200</f>
        <v>20000</v>
      </c>
      <c r="N10" s="29">
        <f t="shared" ref="N10:N22" si="1">L10-M10</f>
        <v>17000</v>
      </c>
      <c r="O10" s="28">
        <f>M10/$M$26</f>
        <v>1.2078205875760906E-2</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f>
        <v>30151.5</v>
      </c>
      <c r="N12" s="29">
        <f t="shared" si="1"/>
        <v>348.5</v>
      </c>
      <c r="O12" s="28">
        <f>M12/$M$26</f>
        <v>1.8208801223150248E-2</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f>
        <v>7404.3099999999995</v>
      </c>
      <c r="N15" s="29">
        <f t="shared" si="1"/>
        <v>1395.6900000000005</v>
      </c>
      <c r="O15" s="28">
        <f>M15/$M$26</f>
        <v>4.4715390273977612E-3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f>
        <v>1339519.6399999999</v>
      </c>
      <c r="N18" s="29">
        <f t="shared" si="1"/>
        <v>2330429.88</v>
      </c>
      <c r="O18" s="28">
        <f>M18/$M$26</f>
        <v>0.80894969932725669</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v>258799.62</v>
      </c>
      <c r="N20" s="29">
        <f t="shared" si="1"/>
        <v>1645376.2599999998</v>
      </c>
      <c r="O20" s="28">
        <f>M20/$M$26</f>
        <v>0.15629175454643449</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1655875.0699999998</v>
      </c>
      <c r="N26" s="35">
        <f t="shared" si="2"/>
        <v>6602648.5499999998</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f>
        <v>311242.51999999996</v>
      </c>
      <c r="N31" s="29">
        <f t="shared" ref="N31:N100" si="3">L31-M31</f>
        <v>488329.52000000008</v>
      </c>
      <c r="O31" s="39">
        <f>M31/$M$139</f>
        <v>0.32538163059935005</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f>
        <v>5625</v>
      </c>
      <c r="N32" s="29">
        <f t="shared" si="3"/>
        <v>8075</v>
      </c>
      <c r="O32" s="39">
        <f>M32/$M$139</f>
        <v>5.8805322361525159E-3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f>
        <v>104296.64</v>
      </c>
      <c r="N33" s="29">
        <f t="shared" si="3"/>
        <v>206803.36</v>
      </c>
      <c r="O33" s="39">
        <f>M33/$M$139</f>
        <v>0.10903462286975892</v>
      </c>
    </row>
    <row r="34" spans="1:15" ht="15.95" customHeight="1" x14ac:dyDescent="0.3">
      <c r="A34" s="42" t="s">
        <v>264</v>
      </c>
      <c r="B34" s="30" t="s">
        <v>265</v>
      </c>
      <c r="C34" s="29"/>
      <c r="D34" s="29"/>
      <c r="E34" s="29"/>
      <c r="F34" s="45">
        <v>15000</v>
      </c>
      <c r="G34" s="45"/>
      <c r="H34" s="29"/>
      <c r="I34" s="29"/>
      <c r="J34" s="45"/>
      <c r="K34" s="45"/>
      <c r="L34" s="29">
        <f t="shared" si="4"/>
        <v>15000</v>
      </c>
      <c r="M34" s="29">
        <f>823.9+3531</f>
        <v>4354.8999999999996</v>
      </c>
      <c r="N34" s="29">
        <f t="shared" si="3"/>
        <v>10645.1</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c r="N36" s="29">
        <f t="shared" si="3"/>
        <v>17500</v>
      </c>
      <c r="O36" s="39">
        <f t="shared" ref="O36:O42" si="5">M36/$M$139</f>
        <v>0</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f>
        <v>9159.39</v>
      </c>
      <c r="N37" s="29">
        <f t="shared" si="3"/>
        <v>25351.410000000003</v>
      </c>
      <c r="O37" s="39">
        <f t="shared" si="5"/>
        <v>9.5754823392876429E-3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f>
        <v>34667.1</v>
      </c>
      <c r="N38" s="29">
        <f t="shared" si="3"/>
        <v>52734.049999999996</v>
      </c>
      <c r="O38" s="39">
        <f t="shared" si="5"/>
        <v>3.6241955392697402E-2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f>
        <v>3247.56</v>
      </c>
      <c r="N39" s="29">
        <f t="shared" si="3"/>
        <v>4943.2800000000007</v>
      </c>
      <c r="O39" s="39">
        <f t="shared" si="5"/>
        <v>3.3950900033492379E-3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c r="N41" s="29">
        <f t="shared" si="3"/>
        <v>67581.009999999995</v>
      </c>
      <c r="O41" s="39">
        <f t="shared" si="5"/>
        <v>0</v>
      </c>
    </row>
    <row r="42" spans="1:15" ht="15.95" customHeight="1" x14ac:dyDescent="0.2">
      <c r="A42" s="42" t="s">
        <v>47</v>
      </c>
      <c r="B42" s="30" t="s">
        <v>48</v>
      </c>
      <c r="C42" s="29">
        <v>4400</v>
      </c>
      <c r="D42" s="29"/>
      <c r="E42" s="29"/>
      <c r="F42" s="45"/>
      <c r="G42" s="45"/>
      <c r="H42" s="29"/>
      <c r="I42" s="29"/>
      <c r="J42" s="45"/>
      <c r="K42" s="45"/>
      <c r="L42" s="29">
        <f t="shared" si="4"/>
        <v>4400</v>
      </c>
      <c r="M42" s="29"/>
      <c r="N42" s="29">
        <f t="shared" si="3"/>
        <v>4400</v>
      </c>
      <c r="O42" s="39">
        <f t="shared" si="5"/>
        <v>0</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f>
        <v>5622.83</v>
      </c>
      <c r="N46" s="29">
        <f t="shared" si="3"/>
        <v>8127.17</v>
      </c>
      <c r="O46" s="39">
        <f t="shared" ref="O46:O55" si="7">M46/$M$139</f>
        <v>5.8782636574943019E-3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f>
        <v>7153.62</v>
      </c>
      <c r="N47" s="29">
        <f t="shared" si="3"/>
        <v>18946.38</v>
      </c>
      <c r="O47" s="39">
        <f t="shared" si="7"/>
        <v>7.4785943138107307E-3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3.1990095364669686E-3</v>
      </c>
    </row>
    <row r="50" spans="1:15" ht="15.95" customHeight="1" x14ac:dyDescent="0.2">
      <c r="A50" s="42" t="s">
        <v>96</v>
      </c>
      <c r="B50" s="30" t="s">
        <v>161</v>
      </c>
      <c r="C50" s="29">
        <v>14250</v>
      </c>
      <c r="D50" s="29"/>
      <c r="E50" s="29"/>
      <c r="F50" s="45"/>
      <c r="G50" s="45"/>
      <c r="H50" s="29"/>
      <c r="I50" s="29"/>
      <c r="J50" s="45"/>
      <c r="K50" s="45"/>
      <c r="L50" s="29">
        <f t="shared" si="6"/>
        <v>14250</v>
      </c>
      <c r="M50" s="29">
        <f>18.9+13.5+13.5+152.35+18.9</f>
        <v>217.15</v>
      </c>
      <c r="N50" s="29">
        <f t="shared" si="3"/>
        <v>14032.85</v>
      </c>
      <c r="O50" s="39">
        <f t="shared" si="7"/>
        <v>2.2701468001431446E-4</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c r="N51" s="29">
        <f t="shared" si="3"/>
        <v>617841.54999999993</v>
      </c>
      <c r="O51" s="39">
        <f t="shared" si="7"/>
        <v>0</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v>2894.44</v>
      </c>
      <c r="N52" s="29">
        <f t="shared" si="3"/>
        <v>560848.26</v>
      </c>
      <c r="O52" s="39">
        <f t="shared" si="7"/>
        <v>3.0259284845527623E-3</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f>
        <v>44242.59</v>
      </c>
      <c r="N53" s="29">
        <f t="shared" si="3"/>
        <v>456742.78</v>
      </c>
      <c r="O53" s="39">
        <f t="shared" si="7"/>
        <v>4.6252440303267361E-2</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c r="N54" s="29">
        <f t="shared" si="3"/>
        <v>50000</v>
      </c>
      <c r="O54" s="39">
        <f t="shared" si="7"/>
        <v>0</v>
      </c>
    </row>
    <row r="55" spans="1:15" ht="15.95" customHeight="1" x14ac:dyDescent="0.2">
      <c r="A55" s="42" t="s">
        <v>101</v>
      </c>
      <c r="B55" s="30" t="s">
        <v>55</v>
      </c>
      <c r="C55" s="29">
        <v>75000</v>
      </c>
      <c r="D55" s="29"/>
      <c r="E55" s="29"/>
      <c r="F55" s="45"/>
      <c r="G55" s="45"/>
      <c r="H55" s="29"/>
      <c r="I55" s="29"/>
      <c r="J55" s="45"/>
      <c r="K55" s="45"/>
      <c r="L55" s="29">
        <f>C55+D55-E55+F55-G55+H55+J55-I55-K55</f>
        <v>75000</v>
      </c>
      <c r="M55" s="29"/>
      <c r="N55" s="29">
        <f t="shared" si="3"/>
        <v>75000</v>
      </c>
      <c r="O55" s="39">
        <f t="shared" si="7"/>
        <v>0</v>
      </c>
    </row>
    <row r="56" spans="1:15" ht="15.95" customHeight="1" x14ac:dyDescent="0.2">
      <c r="A56" s="42">
        <v>151</v>
      </c>
      <c r="B56" s="30" t="s">
        <v>249</v>
      </c>
      <c r="C56" s="29">
        <v>90000</v>
      </c>
      <c r="D56" s="29"/>
      <c r="E56" s="29"/>
      <c r="F56" s="45"/>
      <c r="G56" s="45"/>
      <c r="H56" s="29"/>
      <c r="I56" s="29"/>
      <c r="J56" s="45"/>
      <c r="K56" s="45"/>
      <c r="L56" s="29">
        <f t="shared" si="6"/>
        <v>90000</v>
      </c>
      <c r="M56" s="29">
        <v>11250</v>
      </c>
      <c r="N56" s="29">
        <f t="shared" si="3"/>
        <v>78750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4.3907974029938788E-3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f>
        <v>4350</v>
      </c>
      <c r="N59" s="29">
        <f t="shared" si="3"/>
        <v>3400</v>
      </c>
      <c r="O59" s="39">
        <f t="shared" si="8"/>
        <v>4.5476115959579453E-3</v>
      </c>
    </row>
    <row r="60" spans="1:15" ht="15.95" customHeight="1" x14ac:dyDescent="0.2">
      <c r="A60" s="42" t="s">
        <v>105</v>
      </c>
      <c r="B60" s="30" t="s">
        <v>166</v>
      </c>
      <c r="C60" s="29">
        <v>7000</v>
      </c>
      <c r="D60" s="29"/>
      <c r="E60" s="29"/>
      <c r="F60" s="45"/>
      <c r="G60" s="45"/>
      <c r="H60" s="29"/>
      <c r="I60" s="29"/>
      <c r="J60" s="45"/>
      <c r="K60" s="45"/>
      <c r="L60" s="29">
        <f t="shared" si="6"/>
        <v>7000</v>
      </c>
      <c r="M60" s="29">
        <v>10354.57</v>
      </c>
      <c r="N60" s="29">
        <f t="shared" si="3"/>
        <v>-3354.5699999999997</v>
      </c>
      <c r="O60" s="39">
        <f t="shared" si="8"/>
        <v>1.0824956920266268E-2</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1.7354104021356758E-3</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f>
        <v>22500</v>
      </c>
      <c r="N68" s="29">
        <f t="shared" si="3"/>
        <v>31500</v>
      </c>
      <c r="O68" s="39">
        <f t="shared" si="9"/>
        <v>2.3522128944610064E-2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f>
        <v>22500</v>
      </c>
      <c r="N69" s="29">
        <f t="shared" si="3"/>
        <v>31500</v>
      </c>
      <c r="O69" s="39">
        <f t="shared" si="9"/>
        <v>2.3522128944610064E-2</v>
      </c>
    </row>
    <row r="70" spans="1:15" ht="15.95" customHeight="1" x14ac:dyDescent="0.2">
      <c r="A70" s="42" t="s">
        <v>112</v>
      </c>
      <c r="B70" s="30" t="s">
        <v>57</v>
      </c>
      <c r="C70" s="29">
        <v>7500</v>
      </c>
      <c r="D70" s="29"/>
      <c r="E70" s="29"/>
      <c r="F70" s="45"/>
      <c r="G70" s="45"/>
      <c r="H70" s="29"/>
      <c r="I70" s="29"/>
      <c r="J70" s="45"/>
      <c r="K70" s="45"/>
      <c r="L70" s="29">
        <f t="shared" si="6"/>
        <v>7500</v>
      </c>
      <c r="M70" s="29">
        <v>117.6</v>
      </c>
      <c r="N70" s="29">
        <f t="shared" si="3"/>
        <v>7382.4</v>
      </c>
      <c r="O70" s="39">
        <f t="shared" si="9"/>
        <v>1.2294232728382858E-4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f>
        <v>213255.34000000003</v>
      </c>
      <c r="N72" s="29">
        <f t="shared" si="3"/>
        <v>650044.65999999992</v>
      </c>
      <c r="O72" s="39">
        <f t="shared" si="9"/>
        <v>0.22294309358251826</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f>
        <v>319.76000000000005</v>
      </c>
      <c r="N76" s="29">
        <f t="shared" si="3"/>
        <v>2180.2399999999998</v>
      </c>
      <c r="O76" s="39">
        <f t="shared" si="9"/>
        <v>3.3428604228126735E-4</v>
      </c>
    </row>
    <row r="77" spans="1:15" ht="15.95" customHeight="1" x14ac:dyDescent="0.2">
      <c r="A77" s="42" t="s">
        <v>119</v>
      </c>
      <c r="B77" s="30" t="s">
        <v>59</v>
      </c>
      <c r="C77" s="29">
        <v>125000</v>
      </c>
      <c r="D77" s="29"/>
      <c r="E77" s="29"/>
      <c r="F77" s="45"/>
      <c r="G77" s="45"/>
      <c r="H77" s="29"/>
      <c r="I77" s="29"/>
      <c r="J77" s="45"/>
      <c r="K77" s="45"/>
      <c r="L77" s="29">
        <f t="shared" si="6"/>
        <v>125000</v>
      </c>
      <c r="M77" s="29">
        <f>35.1+230.2</f>
        <v>265.3</v>
      </c>
      <c r="N77" s="29">
        <f t="shared" si="3"/>
        <v>124734.7</v>
      </c>
      <c r="O77" s="39">
        <f t="shared" si="9"/>
        <v>2.7735203595577999E-4</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f>
        <v>155.4</v>
      </c>
      <c r="N80" s="29">
        <f t="shared" si="3"/>
        <v>50844.6</v>
      </c>
      <c r="O80" s="39">
        <f t="shared" si="9"/>
        <v>1.6245950391077351E-4</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f>
        <v>11886.599999999999</v>
      </c>
      <c r="N84" s="29">
        <f t="shared" si="3"/>
        <v>134897.5</v>
      </c>
      <c r="O84" s="39">
        <f t="shared" ref="O84:O120" si="12">M84/$M$139</f>
        <v>1.2426583907244531E-2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v>752</v>
      </c>
      <c r="N89" s="29">
        <f t="shared" si="3"/>
        <v>33048</v>
      </c>
      <c r="O89" s="39">
        <f t="shared" si="12"/>
        <v>7.8616182072652305E-4</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f>
        <v>1455</v>
      </c>
      <c r="N90" s="29">
        <f t="shared" si="3"/>
        <v>3795</v>
      </c>
      <c r="O90" s="39">
        <f t="shared" si="12"/>
        <v>1.5210976717514508E-3</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f>
        <v>3443.5699999999997</v>
      </c>
      <c r="N91" s="29">
        <f t="shared" si="3"/>
        <v>7056.43</v>
      </c>
      <c r="O91" s="39">
        <f t="shared" si="12"/>
        <v>3.6000043364351497E-3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f>
        <v>905</v>
      </c>
      <c r="N92" s="29">
        <f t="shared" si="3"/>
        <v>2145</v>
      </c>
      <c r="O92" s="39">
        <f t="shared" si="12"/>
        <v>9.4611229754987139E-4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c r="N96" s="29">
        <f t="shared" si="3"/>
        <v>2800</v>
      </c>
      <c r="O96" s="39">
        <f t="shared" si="12"/>
        <v>0</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f>
        <v>3748.4500000000003</v>
      </c>
      <c r="N97" s="29">
        <f t="shared" si="3"/>
        <v>4751.5499999999993</v>
      </c>
      <c r="O97" s="39">
        <f t="shared" si="12"/>
        <v>3.9187344107743825E-3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f>
        <v>1782.9</v>
      </c>
      <c r="N99" s="29">
        <f t="shared" si="3"/>
        <v>15717.1</v>
      </c>
      <c r="O99" s="39">
        <f t="shared" si="12"/>
        <v>1.8638934975709015E-3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f>
        <v>491.57</v>
      </c>
      <c r="N100" s="29">
        <f t="shared" si="3"/>
        <v>2508.4299999999998</v>
      </c>
      <c r="O100" s="39">
        <f t="shared" si="12"/>
        <v>5.1390101890230972E-4</v>
      </c>
    </row>
    <row r="101" spans="1:15" ht="15.95" customHeight="1" x14ac:dyDescent="0.2">
      <c r="A101" s="42" t="s">
        <v>135</v>
      </c>
      <c r="B101" s="30" t="s">
        <v>201</v>
      </c>
      <c r="C101" s="29">
        <v>1500</v>
      </c>
      <c r="D101" s="29"/>
      <c r="E101" s="29"/>
      <c r="F101" s="45"/>
      <c r="G101" s="45"/>
      <c r="H101" s="29"/>
      <c r="I101" s="29"/>
      <c r="J101" s="45"/>
      <c r="K101" s="45"/>
      <c r="L101" s="29">
        <f t="shared" si="11"/>
        <v>1500</v>
      </c>
      <c r="M101" s="29">
        <v>158</v>
      </c>
      <c r="N101" s="29">
        <f t="shared" ref="N101:N138" si="15">L101-M101</f>
        <v>1342</v>
      </c>
      <c r="O101" s="39">
        <f t="shared" si="12"/>
        <v>1.6517761658881732E-4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c r="N102" s="29">
        <f t="shared" si="15"/>
        <v>600000</v>
      </c>
      <c r="O102" s="39">
        <f t="shared" si="12"/>
        <v>0</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f>
        <v>1412.57</v>
      </c>
      <c r="N109" s="29">
        <f t="shared" si="15"/>
        <v>3387.4300000000003</v>
      </c>
      <c r="O109" s="39">
        <f t="shared" si="12"/>
        <v>1.4767401637016816E-3</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v>73800</v>
      </c>
      <c r="N111" s="29">
        <f t="shared" si="15"/>
        <v>1226200</v>
      </c>
      <c r="O111" s="39">
        <f t="shared" si="12"/>
        <v>7.7152582938321002E-2</v>
      </c>
    </row>
    <row r="112" spans="1:15" ht="15.95" customHeight="1" x14ac:dyDescent="0.2">
      <c r="A112" s="42">
        <v>286</v>
      </c>
      <c r="B112" s="30" t="s">
        <v>208</v>
      </c>
      <c r="C112" s="29">
        <v>1500</v>
      </c>
      <c r="D112" s="29"/>
      <c r="E112" s="29"/>
      <c r="F112" s="45"/>
      <c r="G112" s="45"/>
      <c r="H112" s="29"/>
      <c r="I112" s="29"/>
      <c r="J112" s="45"/>
      <c r="K112" s="45"/>
      <c r="L112" s="29">
        <f t="shared" si="11"/>
        <v>1500</v>
      </c>
      <c r="M112" s="29">
        <v>75</v>
      </c>
      <c r="N112" s="29">
        <f t="shared" si="15"/>
        <v>1425</v>
      </c>
      <c r="O112" s="39">
        <f t="shared" si="12"/>
        <v>7.8407096482033541E-5</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f>
        <v>863.15</v>
      </c>
      <c r="N114" s="29">
        <f t="shared" si="15"/>
        <v>5736.85</v>
      </c>
      <c r="O114" s="39">
        <f t="shared" si="12"/>
        <v>9.0236113771289671E-4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f>
        <v>377.22</v>
      </c>
      <c r="N115" s="29">
        <f t="shared" si="15"/>
        <v>3622.7799999999997</v>
      </c>
      <c r="O115" s="39">
        <f t="shared" si="12"/>
        <v>3.9435633246603593E-4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3.6067264381735433E-4</v>
      </c>
    </row>
    <row r="117" spans="1:15" ht="15.95" customHeight="1" x14ac:dyDescent="0.2">
      <c r="A117" s="42" t="s">
        <v>144</v>
      </c>
      <c r="B117" s="30" t="s">
        <v>76</v>
      </c>
      <c r="C117" s="29">
        <v>2000</v>
      </c>
      <c r="D117" s="29"/>
      <c r="E117" s="29"/>
      <c r="F117" s="45"/>
      <c r="G117" s="45"/>
      <c r="H117" s="29"/>
      <c r="I117" s="29"/>
      <c r="J117" s="45"/>
      <c r="K117" s="45"/>
      <c r="L117" s="29">
        <f t="shared" si="11"/>
        <v>2000</v>
      </c>
      <c r="M117" s="29"/>
      <c r="N117" s="29">
        <f t="shared" si="15"/>
        <v>2000</v>
      </c>
      <c r="O117" s="39">
        <f t="shared" si="12"/>
        <v>0</v>
      </c>
    </row>
    <row r="118" spans="1:15" ht="15.95" customHeight="1" x14ac:dyDescent="0.2">
      <c r="A118" s="42" t="s">
        <v>145</v>
      </c>
      <c r="B118" s="30" t="s">
        <v>211</v>
      </c>
      <c r="C118" s="29">
        <v>9500</v>
      </c>
      <c r="D118" s="29"/>
      <c r="E118" s="29"/>
      <c r="F118" s="45"/>
      <c r="G118" s="45"/>
      <c r="H118" s="29"/>
      <c r="I118" s="29"/>
      <c r="J118" s="45"/>
      <c r="K118" s="45"/>
      <c r="L118" s="29">
        <f t="shared" si="11"/>
        <v>9500</v>
      </c>
      <c r="M118" s="29">
        <v>45.7</v>
      </c>
      <c r="N118" s="29">
        <f t="shared" si="15"/>
        <v>9454.2999999999993</v>
      </c>
      <c r="O118" s="39">
        <f t="shared" si="12"/>
        <v>4.7776057456385777E-5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c r="N119" s="29">
        <f t="shared" si="15"/>
        <v>100000</v>
      </c>
      <c r="O119" s="39">
        <f t="shared" si="12"/>
        <v>0</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f>
        <v>550.63</v>
      </c>
      <c r="N120" s="29">
        <f t="shared" si="15"/>
        <v>8949.3700000000008</v>
      </c>
      <c r="O120" s="39">
        <f t="shared" si="12"/>
        <v>5.7564399381202836E-4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c r="N125" s="29">
        <f t="shared" si="15"/>
        <v>10000</v>
      </c>
      <c r="O125" s="39">
        <f>M125/$M$139</f>
        <v>0</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c r="N127" s="29">
        <f t="shared" si="15"/>
        <v>304035</v>
      </c>
      <c r="O127" s="39">
        <f>M127/$M$139</f>
        <v>0</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2.4820550462352538E-2</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c r="N135" s="29">
        <f t="shared" si="15"/>
        <v>185900</v>
      </c>
      <c r="O135" s="39">
        <f>M135/$M$139</f>
        <v>0</v>
      </c>
    </row>
    <row r="136" spans="1:15" ht="15.95" customHeight="1" x14ac:dyDescent="0.2">
      <c r="A136" s="42" t="s">
        <v>224</v>
      </c>
      <c r="B136" s="30" t="s">
        <v>225</v>
      </c>
      <c r="C136" s="29">
        <v>7170</v>
      </c>
      <c r="D136" s="29"/>
      <c r="E136" s="29"/>
      <c r="F136" s="29"/>
      <c r="G136" s="29"/>
      <c r="H136" s="29"/>
      <c r="I136" s="29"/>
      <c r="J136" s="45"/>
      <c r="K136" s="45"/>
      <c r="L136" s="29">
        <f t="shared" si="18"/>
        <v>7170</v>
      </c>
      <c r="M136" s="29"/>
      <c r="N136" s="29">
        <f t="shared" si="15"/>
        <v>7170</v>
      </c>
      <c r="O136" s="39">
        <f>M136/$M$139</f>
        <v>0</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f>
        <v>4000</v>
      </c>
      <c r="N137" s="29">
        <f t="shared" si="15"/>
        <v>66000</v>
      </c>
      <c r="O137" s="39">
        <f>M137/$M$139</f>
        <v>4.1817118123751223E-3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c r="N138" s="29">
        <f t="shared" si="15"/>
        <v>8750</v>
      </c>
      <c r="O138" s="39">
        <f>M138/$M$139</f>
        <v>0</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956546.06999999983</v>
      </c>
      <c r="N139" s="35">
        <f t="shared" si="20"/>
        <v>7301977.5499999989</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55" t="s">
        <v>85</v>
      </c>
      <c r="B151" s="53"/>
      <c r="C151" s="70">
        <f>M26</f>
        <v>1655875.0699999998</v>
      </c>
      <c r="D151" s="48"/>
      <c r="E151" s="4"/>
      <c r="F151" s="4"/>
      <c r="G151" s="4"/>
      <c r="H151" s="4"/>
      <c r="I151" s="4"/>
      <c r="J151" s="67"/>
      <c r="K151" s="67"/>
      <c r="L151" s="4"/>
    </row>
    <row r="152" spans="1:13" x14ac:dyDescent="0.2">
      <c r="A152" s="55" t="s">
        <v>86</v>
      </c>
      <c r="B152" s="53"/>
      <c r="C152" s="71">
        <f>-M139</f>
        <v>-956546.06999999983</v>
      </c>
      <c r="D152" s="4"/>
      <c r="E152" s="4"/>
      <c r="F152" s="4"/>
      <c r="G152" s="4"/>
      <c r="H152" s="4"/>
      <c r="I152" s="4"/>
      <c r="J152" s="67"/>
      <c r="K152" s="67"/>
      <c r="L152" s="4"/>
    </row>
    <row r="153" spans="1:13" ht="15.75" x14ac:dyDescent="0.25">
      <c r="A153" s="56" t="s">
        <v>87</v>
      </c>
      <c r="B153" s="57"/>
      <c r="C153" s="72">
        <f>SUM(C147:C152)</f>
        <v>3211779.2</v>
      </c>
      <c r="D153" s="4"/>
      <c r="E153" s="4"/>
      <c r="F153" s="4"/>
      <c r="G153" s="4"/>
      <c r="H153" s="4"/>
      <c r="I153" s="4"/>
      <c r="J153" s="67"/>
      <c r="K153" s="67"/>
      <c r="L153" s="4"/>
    </row>
    <row r="154" spans="1:13" ht="15.75" x14ac:dyDescent="0.25">
      <c r="A154" s="56"/>
      <c r="B154" s="57"/>
      <c r="C154" s="72"/>
      <c r="D154" s="4"/>
      <c r="E154" s="4"/>
      <c r="F154" s="4"/>
      <c r="G154" s="4"/>
      <c r="H154" s="4"/>
      <c r="I154" s="4"/>
      <c r="J154" s="67"/>
      <c r="K154" s="67"/>
      <c r="L154" s="4"/>
    </row>
    <row r="155" spans="1:13" x14ac:dyDescent="0.2">
      <c r="A155" s="52" t="s">
        <v>88</v>
      </c>
      <c r="B155" s="53"/>
      <c r="C155" s="70"/>
      <c r="D155" s="4"/>
      <c r="E155" s="4"/>
      <c r="F155" s="4"/>
      <c r="G155" s="4"/>
      <c r="H155" s="4"/>
      <c r="I155" s="4"/>
      <c r="J155" s="67"/>
      <c r="K155" s="67"/>
      <c r="L155" s="4"/>
    </row>
    <row r="156" spans="1:13" ht="12" customHeight="1" x14ac:dyDescent="0.2">
      <c r="A156" s="55" t="s">
        <v>148</v>
      </c>
      <c r="B156" s="53"/>
      <c r="C156" s="70">
        <v>272</v>
      </c>
      <c r="D156" s="4"/>
      <c r="E156" s="4"/>
      <c r="F156" s="4"/>
      <c r="G156" s="4"/>
      <c r="H156" s="4"/>
      <c r="I156" s="4"/>
      <c r="J156" s="67"/>
      <c r="K156" s="67"/>
      <c r="L156" s="4"/>
    </row>
    <row r="157" spans="1:13" ht="12" customHeight="1" x14ac:dyDescent="0.2">
      <c r="A157" s="55" t="s">
        <v>245</v>
      </c>
      <c r="B157" s="53"/>
      <c r="C157" s="70"/>
      <c r="D157" s="4"/>
      <c r="E157" s="4"/>
      <c r="F157" s="4"/>
      <c r="G157" s="4"/>
      <c r="H157" s="4"/>
      <c r="I157" s="4"/>
      <c r="J157" s="67"/>
      <c r="K157" s="67"/>
      <c r="L157" s="4"/>
    </row>
    <row r="158" spans="1:13" ht="12" customHeight="1" x14ac:dyDescent="0.2">
      <c r="A158" s="55" t="s">
        <v>253</v>
      </c>
      <c r="B158" s="53"/>
      <c r="C158" s="70">
        <v>2516.42</v>
      </c>
      <c r="D158" s="4"/>
      <c r="E158" s="4"/>
      <c r="F158" s="4"/>
      <c r="G158" s="4"/>
      <c r="H158" s="4"/>
      <c r="I158" s="4"/>
      <c r="J158" s="67"/>
      <c r="K158" s="67"/>
      <c r="L158" s="4"/>
    </row>
    <row r="159" spans="1:13" x14ac:dyDescent="0.2">
      <c r="A159" s="55" t="s">
        <v>151</v>
      </c>
      <c r="B159" s="53"/>
      <c r="C159" s="70">
        <f>6909.49+3127.71+647.56-0.06</f>
        <v>10684.7</v>
      </c>
      <c r="D159" s="80"/>
      <c r="E159" s="4"/>
      <c r="F159" s="4"/>
      <c r="G159" s="4"/>
      <c r="H159" s="4"/>
      <c r="I159" s="4"/>
      <c r="J159" s="67"/>
      <c r="K159" s="67"/>
      <c r="L159" s="4"/>
    </row>
    <row r="160" spans="1:13" x14ac:dyDescent="0.2">
      <c r="A160" s="55" t="s">
        <v>150</v>
      </c>
      <c r="B160" s="53"/>
      <c r="C160" s="70">
        <v>1775.09</v>
      </c>
      <c r="D160" s="81"/>
      <c r="E160" s="4"/>
      <c r="F160" s="4"/>
      <c r="G160" s="4"/>
      <c r="H160" s="4"/>
      <c r="I160" s="4"/>
      <c r="J160" s="67"/>
      <c r="K160" s="67"/>
      <c r="L160" s="4"/>
    </row>
    <row r="161" spans="1:13" x14ac:dyDescent="0.2">
      <c r="A161" s="55" t="s">
        <v>149</v>
      </c>
      <c r="B161" s="53"/>
      <c r="C161" s="70">
        <v>1751.63</v>
      </c>
      <c r="D161" s="81"/>
      <c r="E161" s="4"/>
      <c r="F161" s="4"/>
      <c r="G161" s="4"/>
      <c r="H161" s="4"/>
      <c r="I161" s="4"/>
      <c r="J161" s="67"/>
      <c r="K161" s="67"/>
      <c r="L161" s="4"/>
    </row>
    <row r="162" spans="1:13" x14ac:dyDescent="0.2">
      <c r="A162" s="55" t="s">
        <v>257</v>
      </c>
      <c r="B162" s="53"/>
      <c r="C162" s="70"/>
      <c r="D162" s="81"/>
      <c r="E162" s="4"/>
      <c r="F162" s="4"/>
      <c r="G162" s="4"/>
      <c r="H162" s="4"/>
      <c r="I162" s="4"/>
      <c r="J162" s="67"/>
      <c r="K162" s="67"/>
      <c r="L162" s="4"/>
    </row>
    <row r="163" spans="1:13" x14ac:dyDescent="0.2">
      <c r="A163" s="55" t="s">
        <v>261</v>
      </c>
      <c r="B163" s="53"/>
      <c r="C163" s="70"/>
      <c r="D163" s="81"/>
      <c r="E163" s="4"/>
      <c r="F163" s="4"/>
      <c r="G163" s="4"/>
      <c r="H163" s="4"/>
      <c r="I163" s="4"/>
      <c r="J163" s="67"/>
      <c r="K163" s="67"/>
      <c r="L163" s="4"/>
    </row>
    <row r="164" spans="1:13" x14ac:dyDescent="0.2">
      <c r="A164" s="55"/>
      <c r="B164" s="53"/>
      <c r="C164" s="70"/>
      <c r="D164" s="81"/>
      <c r="E164" s="4"/>
      <c r="F164" s="4"/>
      <c r="G164" s="4"/>
      <c r="H164" s="4"/>
      <c r="I164" s="4"/>
      <c r="J164" s="67"/>
      <c r="K164" s="67"/>
      <c r="L164" s="4"/>
    </row>
    <row r="165" spans="1:13" x14ac:dyDescent="0.2">
      <c r="A165" s="55"/>
      <c r="B165" s="53"/>
      <c r="C165" s="71"/>
      <c r="D165" s="82"/>
      <c r="E165" s="83"/>
      <c r="F165" s="4"/>
      <c r="G165" s="4"/>
      <c r="H165" s="4"/>
      <c r="I165" s="4"/>
      <c r="J165" s="67"/>
      <c r="K165" s="67"/>
      <c r="L165" s="4"/>
    </row>
    <row r="166" spans="1:13" ht="15.75" x14ac:dyDescent="0.25">
      <c r="A166" s="56"/>
      <c r="B166" s="57"/>
      <c r="C166" s="72">
        <f>SUM(C156:C165)</f>
        <v>16999.84</v>
      </c>
      <c r="D166" s="82"/>
      <c r="E166" s="83"/>
      <c r="F166" s="4"/>
      <c r="G166" s="4"/>
      <c r="H166" s="4"/>
      <c r="I166" s="4"/>
      <c r="J166" s="67"/>
      <c r="K166" s="67"/>
      <c r="L166" s="4"/>
    </row>
    <row r="167" spans="1:13" ht="2.1" customHeight="1" x14ac:dyDescent="0.25">
      <c r="A167" s="56"/>
      <c r="B167" s="57"/>
      <c r="C167" s="73"/>
      <c r="D167" s="81"/>
      <c r="E167" s="4"/>
      <c r="F167" s="4"/>
      <c r="G167" s="4"/>
      <c r="H167" s="4"/>
      <c r="I167" s="4"/>
      <c r="J167" s="67"/>
      <c r="K167" s="67"/>
      <c r="L167" s="4"/>
    </row>
    <row r="168" spans="1:13" x14ac:dyDescent="0.2">
      <c r="A168" s="55"/>
      <c r="B168" s="53"/>
      <c r="C168" s="70"/>
      <c r="D168" s="81"/>
      <c r="E168" s="4"/>
      <c r="F168" s="4"/>
      <c r="G168" s="4"/>
      <c r="H168" s="4"/>
      <c r="I168" s="4"/>
      <c r="J168" s="67"/>
      <c r="K168" s="67"/>
      <c r="L168" s="4"/>
    </row>
    <row r="169" spans="1:13" ht="2.1" customHeight="1" thickBot="1" x14ac:dyDescent="0.3">
      <c r="A169" s="58" t="s">
        <v>242</v>
      </c>
      <c r="B169" s="59"/>
      <c r="C169" s="69">
        <f>C153+C166</f>
        <v>3228779.04</v>
      </c>
      <c r="D169" s="80"/>
      <c r="E169" s="4"/>
      <c r="F169" s="4"/>
      <c r="G169" s="4"/>
      <c r="H169" s="4"/>
      <c r="I169" s="4"/>
      <c r="J169" s="67"/>
      <c r="K169" s="67"/>
      <c r="L169" s="4"/>
    </row>
    <row r="170" spans="1:13" ht="9.9499999999999993" customHeight="1" x14ac:dyDescent="0.2">
      <c r="A170" s="55"/>
      <c r="B170" s="53"/>
      <c r="C170" s="70"/>
      <c r="D170" s="80"/>
      <c r="E170" s="4"/>
      <c r="F170" s="4"/>
      <c r="G170" s="4"/>
      <c r="H170" s="4"/>
      <c r="I170" s="4"/>
      <c r="J170" s="67"/>
      <c r="K170" s="67"/>
      <c r="L170" s="4"/>
    </row>
    <row r="171" spans="1:13" ht="16.5" thickBot="1" x14ac:dyDescent="0.3">
      <c r="A171" s="58" t="s">
        <v>266</v>
      </c>
      <c r="B171" s="59"/>
      <c r="C171" s="69">
        <f>C153+C166</f>
        <v>3228779.04</v>
      </c>
      <c r="D171" s="82"/>
      <c r="E171" s="4"/>
      <c r="F171" s="4"/>
      <c r="G171" s="4"/>
      <c r="H171" s="4"/>
      <c r="I171" s="4"/>
      <c r="J171" s="67"/>
      <c r="K171" s="67"/>
      <c r="L171" s="4"/>
      <c r="M171" s="4"/>
    </row>
    <row r="172" spans="1:13" x14ac:dyDescent="0.2">
      <c r="A172" s="53"/>
      <c r="C172" s="4"/>
      <c r="D172" s="4"/>
      <c r="E172" s="4"/>
      <c r="F172" s="4"/>
      <c r="G172" s="4"/>
      <c r="H172" s="4"/>
      <c r="I172" s="4"/>
      <c r="J172" s="67"/>
      <c r="K172" s="67"/>
      <c r="L172" s="4"/>
    </row>
    <row r="173" spans="1:13" x14ac:dyDescent="0.2">
      <c r="C173" s="4"/>
      <c r="D173" s="4"/>
      <c r="E173" s="4"/>
    </row>
    <row r="174" spans="1:13" x14ac:dyDescent="0.2">
      <c r="C174" s="14"/>
      <c r="D174" s="4"/>
    </row>
    <row r="175" spans="1:13" x14ac:dyDescent="0.2">
      <c r="C175" s="14"/>
      <c r="D175" s="4"/>
    </row>
    <row r="176" spans="1:13" x14ac:dyDescent="0.2">
      <c r="C176" s="15"/>
      <c r="D176" s="4"/>
      <c r="I176" s="4"/>
      <c r="K176" s="67"/>
      <c r="L176" s="4"/>
    </row>
    <row r="177" spans="2:12" x14ac:dyDescent="0.2">
      <c r="C177" s="15"/>
      <c r="D177" s="4"/>
    </row>
    <row r="178" spans="2:12" x14ac:dyDescent="0.2">
      <c r="C178" s="15"/>
      <c r="D178" s="4"/>
    </row>
    <row r="179" spans="2:12" x14ac:dyDescent="0.2">
      <c r="C179" s="15"/>
      <c r="D179" s="4"/>
    </row>
    <row r="180" spans="2:12" x14ac:dyDescent="0.2">
      <c r="C180" s="15"/>
      <c r="D180" s="4"/>
    </row>
    <row r="181" spans="2:12" x14ac:dyDescent="0.2">
      <c r="D181" s="4"/>
    </row>
    <row r="182" spans="2:12" x14ac:dyDescent="0.2">
      <c r="D182" s="4"/>
    </row>
    <row r="183" spans="2:12" x14ac:dyDescent="0.2">
      <c r="B183" s="11" t="s">
        <v>240</v>
      </c>
      <c r="C183" s="13" t="s">
        <v>230</v>
      </c>
      <c r="G183" s="11" t="s">
        <v>251</v>
      </c>
      <c r="J183" s="13" t="s">
        <v>238</v>
      </c>
      <c r="K183" s="75"/>
    </row>
    <row r="184" spans="2:12" x14ac:dyDescent="0.2">
      <c r="B184" s="11" t="s">
        <v>89</v>
      </c>
      <c r="C184" s="13" t="s">
        <v>90</v>
      </c>
      <c r="G184" s="11" t="s">
        <v>252</v>
      </c>
      <c r="J184" s="11" t="s">
        <v>246</v>
      </c>
    </row>
    <row r="188" spans="2:12" x14ac:dyDescent="0.2">
      <c r="I188" s="4"/>
      <c r="K188" s="67"/>
      <c r="L188" s="4"/>
    </row>
    <row r="189" spans="2:12" x14ac:dyDescent="0.2">
      <c r="I189" s="4"/>
      <c r="K189" s="67"/>
      <c r="L189" s="4"/>
    </row>
    <row r="190" spans="2:12" x14ac:dyDescent="0.2">
      <c r="G190" s="60"/>
      <c r="I190" s="60"/>
      <c r="K190" s="68"/>
      <c r="L190" s="4"/>
    </row>
    <row r="191" spans="2:12" x14ac:dyDescent="0.2">
      <c r="G191" s="60"/>
      <c r="I191" s="60"/>
      <c r="K191" s="68"/>
      <c r="L191" s="4"/>
    </row>
    <row r="192" spans="2:12" x14ac:dyDescent="0.2">
      <c r="G192" s="60"/>
      <c r="L192" s="4"/>
    </row>
    <row r="193" spans="7:12" x14ac:dyDescent="0.2">
      <c r="G193" s="60"/>
    </row>
    <row r="194" spans="7:12" x14ac:dyDescent="0.2">
      <c r="G194" s="60"/>
    </row>
    <row r="195" spans="7:12" x14ac:dyDescent="0.2">
      <c r="G195" s="60"/>
      <c r="L195" s="4"/>
    </row>
    <row r="196" spans="7:12" x14ac:dyDescent="0.2">
      <c r="G196" s="60"/>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FD7B-9338-43C3-ABD0-7AF0854CD51B}">
  <dimension ref="A1:O208"/>
  <sheetViews>
    <sheetView topLeftCell="A75" zoomScaleNormal="100" workbookViewId="0">
      <selection activeCell="M20" sqref="M20"/>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12800+3800+2400+200+800+400</f>
        <v>20400</v>
      </c>
      <c r="N10" s="29">
        <f t="shared" ref="N10:N22" si="1">L10-M10</f>
        <v>16600</v>
      </c>
      <c r="O10" s="28">
        <f>M10/$M$26</f>
        <v>8.1930994334909503E-3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f>
        <v>30151.5</v>
      </c>
      <c r="N12" s="29">
        <f t="shared" si="1"/>
        <v>348.5</v>
      </c>
      <c r="O12" s="28">
        <f>M12/$M$26</f>
        <v>1.2109521449456E-2</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f>
        <v>7404.3099999999995</v>
      </c>
      <c r="N15" s="29">
        <f t="shared" si="1"/>
        <v>1395.6900000000005</v>
      </c>
      <c r="O15" s="28">
        <f>M15/$M$26</f>
        <v>2.9737376503133029E-3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324883.58+265491.21+249714.95+249714.95+249714.95+296154.05</f>
        <v>1635673.69</v>
      </c>
      <c r="N18" s="29">
        <f t="shared" si="1"/>
        <v>2034275.83</v>
      </c>
      <c r="O18" s="28">
        <f>M18/$M$26</f>
        <v>0.65692339131936539</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f>
        <v>796270.71</v>
      </c>
      <c r="N20" s="29">
        <f t="shared" si="1"/>
        <v>1107905.17</v>
      </c>
      <c r="O20" s="28">
        <f>M20/$M$26</f>
        <v>0.31980025014737434</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2489900.21</v>
      </c>
      <c r="N26" s="35">
        <f t="shared" si="2"/>
        <v>5768623.4100000001</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f>+M26-M28</f>
        <v>2489900.21</v>
      </c>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f>
        <v>370789.66</v>
      </c>
      <c r="N31" s="29">
        <f t="shared" ref="N31:N100" si="3">L31-M31</f>
        <v>428782.38000000006</v>
      </c>
      <c r="O31" s="39">
        <f>M31/$M$139</f>
        <v>0.25947655010456266</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f>
        <v>6750</v>
      </c>
      <c r="N32" s="29">
        <f t="shared" si="3"/>
        <v>6950</v>
      </c>
      <c r="O32" s="39">
        <f>M32/$M$139</f>
        <v>4.7236126088462073E-3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f>
        <v>126677.32</v>
      </c>
      <c r="N33" s="29">
        <f t="shared" si="3"/>
        <v>184422.68</v>
      </c>
      <c r="O33" s="39">
        <f>M33/$M$139</f>
        <v>8.8648086815829003E-2</v>
      </c>
    </row>
    <row r="34" spans="1:15" ht="15.95" customHeight="1" x14ac:dyDescent="0.3">
      <c r="A34" s="42" t="s">
        <v>264</v>
      </c>
      <c r="B34" s="30" t="s">
        <v>265</v>
      </c>
      <c r="C34" s="29"/>
      <c r="D34" s="29"/>
      <c r="E34" s="29"/>
      <c r="F34" s="45">
        <v>15000</v>
      </c>
      <c r="G34" s="45"/>
      <c r="H34" s="29"/>
      <c r="I34" s="29"/>
      <c r="J34" s="45"/>
      <c r="K34" s="45"/>
      <c r="L34" s="29">
        <f t="shared" si="4"/>
        <v>15000</v>
      </c>
      <c r="M34" s="29">
        <f>823.9+3531+3531</f>
        <v>7885.9</v>
      </c>
      <c r="N34" s="29">
        <f t="shared" si="3"/>
        <v>7114.1</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c r="N36" s="29">
        <f t="shared" si="3"/>
        <v>17500</v>
      </c>
      <c r="O36" s="39">
        <f t="shared" ref="O36:O42" si="5">M36/$M$139</f>
        <v>0</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3669.23+3812.08+1678.08+1537.98</f>
        <v>10697.369999999999</v>
      </c>
      <c r="N37" s="29">
        <f t="shared" si="3"/>
        <v>23813.430000000004</v>
      </c>
      <c r="O37" s="39">
        <f t="shared" si="5"/>
        <v>7.4859602686656512E-3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6536.21+6924.6+7121.94+7174.86+6909.49+6894.54</f>
        <v>41561.64</v>
      </c>
      <c r="N38" s="29">
        <f t="shared" si="3"/>
        <v>45839.509999999995</v>
      </c>
      <c r="O38" s="39">
        <f t="shared" si="5"/>
        <v>2.9084605444196571E-2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587.53+672.57+667.47+672.43+647.56+646.16</f>
        <v>3893.72</v>
      </c>
      <c r="N39" s="29">
        <f t="shared" si="3"/>
        <v>4297.1200000000008</v>
      </c>
      <c r="O39" s="39">
        <f t="shared" si="5"/>
        <v>2.7248036870098744E-3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c r="N40" s="29">
        <f t="shared" si="3"/>
        <v>67581.009999999995</v>
      </c>
      <c r="O40" s="39">
        <f t="shared" si="5"/>
        <v>0</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c r="N41" s="29">
        <f t="shared" si="3"/>
        <v>67581.009999999995</v>
      </c>
      <c r="O41" s="39">
        <f t="shared" si="5"/>
        <v>0</v>
      </c>
    </row>
    <row r="42" spans="1:15" ht="15.95" customHeight="1" x14ac:dyDescent="0.2">
      <c r="A42" s="42" t="s">
        <v>47</v>
      </c>
      <c r="B42" s="30" t="s">
        <v>48</v>
      </c>
      <c r="C42" s="29">
        <v>4400</v>
      </c>
      <c r="D42" s="29"/>
      <c r="E42" s="29"/>
      <c r="F42" s="45"/>
      <c r="G42" s="45"/>
      <c r="H42" s="29"/>
      <c r="I42" s="29"/>
      <c r="J42" s="45"/>
      <c r="K42" s="45"/>
      <c r="L42" s="29">
        <f t="shared" si="4"/>
        <v>4400</v>
      </c>
      <c r="M42" s="29"/>
      <c r="N42" s="29">
        <f t="shared" si="3"/>
        <v>4400</v>
      </c>
      <c r="O42" s="39">
        <f t="shared" si="5"/>
        <v>0</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530.61+1202.11+1310.83+1071.3+1507.98+1507.98</f>
        <v>7130.8099999999995</v>
      </c>
      <c r="N46" s="29">
        <f t="shared" si="3"/>
        <v>6619.1900000000005</v>
      </c>
      <c r="O46" s="39">
        <f t="shared" ref="O46:O55" si="7">M46/$M$139</f>
        <v>4.9901013373757951E-3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f>
        <v>7771.62</v>
      </c>
      <c r="N47" s="29">
        <f t="shared" si="3"/>
        <v>18328.38</v>
      </c>
      <c r="O47" s="39">
        <f t="shared" si="7"/>
        <v>5.4385366256535341E-3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2.1413710493436138E-3</v>
      </c>
    </row>
    <row r="50" spans="1:15" ht="15.95" customHeight="1" x14ac:dyDescent="0.2">
      <c r="A50" s="42" t="s">
        <v>96</v>
      </c>
      <c r="B50" s="30" t="s">
        <v>161</v>
      </c>
      <c r="C50" s="29">
        <v>14250</v>
      </c>
      <c r="D50" s="29"/>
      <c r="E50" s="29"/>
      <c r="F50" s="45"/>
      <c r="G50" s="45"/>
      <c r="H50" s="29"/>
      <c r="I50" s="29"/>
      <c r="J50" s="45"/>
      <c r="K50" s="45"/>
      <c r="L50" s="29">
        <f t="shared" si="6"/>
        <v>14250</v>
      </c>
      <c r="M50" s="29">
        <f>18.9+13.5+13.5+152.35+18.9+138.2</f>
        <v>355.35</v>
      </c>
      <c r="N50" s="29">
        <f t="shared" si="3"/>
        <v>13894.65</v>
      </c>
      <c r="O50" s="39">
        <f t="shared" si="7"/>
        <v>2.4867196156348146E-4</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v>90330.35</v>
      </c>
      <c r="N51" s="29">
        <f t="shared" si="3"/>
        <v>527511.19999999995</v>
      </c>
      <c r="O51" s="39">
        <f t="shared" si="7"/>
        <v>6.3212678551332002E-2</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f>2894.44+80982.64</f>
        <v>83877.08</v>
      </c>
      <c r="N52" s="29">
        <f t="shared" si="3"/>
        <v>479865.61999999994</v>
      </c>
      <c r="O52" s="39">
        <f t="shared" si="7"/>
        <v>5.8696715952770664E-2</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29413.01+7189.7+7639.88+133891.61</f>
        <v>178134.19999999998</v>
      </c>
      <c r="N53" s="29">
        <f t="shared" si="3"/>
        <v>322851.17000000004</v>
      </c>
      <c r="O53" s="39">
        <f t="shared" si="7"/>
        <v>0.12465732639803435</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c r="N54" s="29">
        <f t="shared" si="3"/>
        <v>50000</v>
      </c>
      <c r="O54" s="39">
        <f t="shared" si="7"/>
        <v>0</v>
      </c>
    </row>
    <row r="55" spans="1:15" ht="15.95" customHeight="1" x14ac:dyDescent="0.2">
      <c r="A55" s="42" t="s">
        <v>101</v>
      </c>
      <c r="B55" s="30" t="s">
        <v>55</v>
      </c>
      <c r="C55" s="29">
        <v>75000</v>
      </c>
      <c r="D55" s="29"/>
      <c r="E55" s="29"/>
      <c r="F55" s="45"/>
      <c r="G55" s="45"/>
      <c r="H55" s="29"/>
      <c r="I55" s="29"/>
      <c r="J55" s="45"/>
      <c r="K55" s="45"/>
      <c r="L55" s="29">
        <f>C55+D55-E55+F55-G55+H55+J55-I55-K55</f>
        <v>75000</v>
      </c>
      <c r="M55" s="29"/>
      <c r="N55" s="29">
        <f t="shared" si="3"/>
        <v>75000</v>
      </c>
      <c r="O55" s="39">
        <f t="shared" si="7"/>
        <v>0</v>
      </c>
    </row>
    <row r="56" spans="1:15" ht="15.95" customHeight="1" x14ac:dyDescent="0.2">
      <c r="A56" s="42">
        <v>151</v>
      </c>
      <c r="B56" s="30" t="s">
        <v>249</v>
      </c>
      <c r="C56" s="29">
        <v>90000</v>
      </c>
      <c r="D56" s="29"/>
      <c r="E56" s="29"/>
      <c r="F56" s="45"/>
      <c r="G56" s="45"/>
      <c r="H56" s="29"/>
      <c r="I56" s="29"/>
      <c r="J56" s="45"/>
      <c r="K56" s="45"/>
      <c r="L56" s="29">
        <f t="shared" si="6"/>
        <v>90000</v>
      </c>
      <c r="M56" s="29">
        <f>11250+11250</f>
        <v>22500</v>
      </c>
      <c r="N56" s="29">
        <f t="shared" si="3"/>
        <v>67500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2.9391367343931953E-3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f>
        <v>4350</v>
      </c>
      <c r="N59" s="29">
        <f t="shared" si="3"/>
        <v>3400</v>
      </c>
      <c r="O59" s="39">
        <f t="shared" si="8"/>
        <v>3.0441059034786665E-3</v>
      </c>
    </row>
    <row r="60" spans="1:15" ht="15.95" customHeight="1" x14ac:dyDescent="0.2">
      <c r="A60" s="42" t="s">
        <v>105</v>
      </c>
      <c r="B60" s="30" t="s">
        <v>166</v>
      </c>
      <c r="C60" s="29">
        <v>7000</v>
      </c>
      <c r="D60" s="29"/>
      <c r="E60" s="29"/>
      <c r="F60" s="45"/>
      <c r="G60" s="45"/>
      <c r="H60" s="29"/>
      <c r="I60" s="29"/>
      <c r="J60" s="45"/>
      <c r="K60" s="45"/>
      <c r="L60" s="29">
        <f t="shared" si="6"/>
        <v>7000</v>
      </c>
      <c r="M60" s="29">
        <v>10354.57</v>
      </c>
      <c r="N60" s="29">
        <f t="shared" si="3"/>
        <v>-3354.5699999999997</v>
      </c>
      <c r="O60" s="39">
        <f t="shared" si="8"/>
        <v>7.2460707275823211E-3</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1.161658804545882E-3</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4500+4500+4500+4500+4500+4500</f>
        <v>27000</v>
      </c>
      <c r="N68" s="29">
        <f t="shared" si="3"/>
        <v>27000</v>
      </c>
      <c r="O68" s="39">
        <f t="shared" si="9"/>
        <v>1.8894450435384829E-2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4500+4500+4500+4500+4500+4500</f>
        <v>27000</v>
      </c>
      <c r="N69" s="29">
        <f t="shared" si="3"/>
        <v>27000</v>
      </c>
      <c r="O69" s="39">
        <f t="shared" si="9"/>
        <v>1.8894450435384829E-2</v>
      </c>
    </row>
    <row r="70" spans="1:15" ht="15.95" customHeight="1" x14ac:dyDescent="0.2">
      <c r="A70" s="42" t="s">
        <v>112</v>
      </c>
      <c r="B70" s="30" t="s">
        <v>57</v>
      </c>
      <c r="C70" s="29">
        <v>7500</v>
      </c>
      <c r="D70" s="29"/>
      <c r="E70" s="29"/>
      <c r="F70" s="45"/>
      <c r="G70" s="45"/>
      <c r="H70" s="29"/>
      <c r="I70" s="29"/>
      <c r="J70" s="45"/>
      <c r="K70" s="45"/>
      <c r="L70" s="29">
        <f t="shared" si="6"/>
        <v>7500</v>
      </c>
      <c r="M70" s="29">
        <f>117.6+235.2</f>
        <v>352.79999999999995</v>
      </c>
      <c r="N70" s="29">
        <f t="shared" si="3"/>
        <v>7147.2</v>
      </c>
      <c r="O70" s="39">
        <f t="shared" si="9"/>
        <v>2.4688748568902838E-4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1500+70267.86+117000.9+24486.58+24517.72</f>
        <v>237773.06000000003</v>
      </c>
      <c r="N72" s="29">
        <f t="shared" si="3"/>
        <v>625526.93999999994</v>
      </c>
      <c r="O72" s="39">
        <f t="shared" si="9"/>
        <v>0.16639227026073272</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f>
        <v>533.13000000000011</v>
      </c>
      <c r="N76" s="29">
        <f t="shared" si="3"/>
        <v>1966.87</v>
      </c>
      <c r="O76" s="39">
        <f t="shared" si="9"/>
        <v>3.7308142076358206E-4</v>
      </c>
    </row>
    <row r="77" spans="1:15" ht="15.95" customHeight="1" x14ac:dyDescent="0.2">
      <c r="A77" s="42" t="s">
        <v>119</v>
      </c>
      <c r="B77" s="30" t="s">
        <v>59</v>
      </c>
      <c r="C77" s="29">
        <v>125000</v>
      </c>
      <c r="D77" s="29"/>
      <c r="E77" s="29"/>
      <c r="F77" s="45"/>
      <c r="G77" s="45"/>
      <c r="H77" s="29"/>
      <c r="I77" s="29"/>
      <c r="J77" s="45"/>
      <c r="K77" s="45"/>
      <c r="L77" s="29">
        <f t="shared" si="6"/>
        <v>125000</v>
      </c>
      <c r="M77" s="29">
        <f>35.1+230.2</f>
        <v>265.3</v>
      </c>
      <c r="N77" s="29">
        <f t="shared" si="3"/>
        <v>124734.7</v>
      </c>
      <c r="O77" s="39">
        <f t="shared" si="9"/>
        <v>1.8565547038917017E-4</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55+100.4+3468.75</f>
        <v>3624.15</v>
      </c>
      <c r="N80" s="29">
        <f t="shared" si="3"/>
        <v>47375.85</v>
      </c>
      <c r="O80" s="39">
        <f t="shared" si="9"/>
        <v>2.5361600942740712E-3</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f>
        <v>14322.3</v>
      </c>
      <c r="N84" s="29">
        <f t="shared" si="3"/>
        <v>132461.80000000002</v>
      </c>
      <c r="O84" s="39">
        <f t="shared" ref="O84:O120" si="12">M84/$M$139</f>
        <v>1.0022666202618966E-2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f>752+10750</f>
        <v>11502</v>
      </c>
      <c r="N89" s="29">
        <f t="shared" si="3"/>
        <v>22298</v>
      </c>
      <c r="O89" s="39">
        <f t="shared" si="12"/>
        <v>8.0490358854739368E-3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f>
        <v>1940</v>
      </c>
      <c r="N90" s="29">
        <f t="shared" si="3"/>
        <v>3310</v>
      </c>
      <c r="O90" s="39">
        <f t="shared" si="12"/>
        <v>1.3576012535054284E-3</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f>
        <v>4279.42</v>
      </c>
      <c r="N91" s="29">
        <f t="shared" si="3"/>
        <v>6220.58</v>
      </c>
      <c r="O91" s="39">
        <f t="shared" si="12"/>
        <v>2.9947144104516495E-3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f>
        <v>905</v>
      </c>
      <c r="N92" s="29">
        <f t="shared" si="3"/>
        <v>2145</v>
      </c>
      <c r="O92" s="39">
        <f t="shared" si="12"/>
        <v>6.3331398681567663E-4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c r="N96" s="29">
        <f t="shared" si="3"/>
        <v>2800</v>
      </c>
      <c r="O96" s="39">
        <f t="shared" si="12"/>
        <v>0</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270+340.02+1364.45+745+1028.98+290.05</f>
        <v>4038.5000000000005</v>
      </c>
      <c r="N97" s="29">
        <f t="shared" si="3"/>
        <v>4461.5</v>
      </c>
      <c r="O97" s="39">
        <f t="shared" si="12"/>
        <v>2.8261199290111716E-3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f>
        <v>1782.9</v>
      </c>
      <c r="N99" s="29">
        <f t="shared" si="3"/>
        <v>15717.1</v>
      </c>
      <c r="O99" s="39">
        <f t="shared" si="12"/>
        <v>1.2476635437499114E-3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67.75+182.63+3.55+237.64+423.48</f>
        <v>915.05</v>
      </c>
      <c r="N100" s="29">
        <f t="shared" si="3"/>
        <v>2084.9499999999998</v>
      </c>
      <c r="O100" s="39">
        <f t="shared" si="12"/>
        <v>6.4034692114440313E-4</v>
      </c>
    </row>
    <row r="101" spans="1:15" ht="15.95" customHeight="1" x14ac:dyDescent="0.2">
      <c r="A101" s="42" t="s">
        <v>135</v>
      </c>
      <c r="B101" s="30" t="s">
        <v>201</v>
      </c>
      <c r="C101" s="29">
        <v>1500</v>
      </c>
      <c r="D101" s="29"/>
      <c r="E101" s="29"/>
      <c r="F101" s="45"/>
      <c r="G101" s="45"/>
      <c r="H101" s="29"/>
      <c r="I101" s="29"/>
      <c r="J101" s="45"/>
      <c r="K101" s="45"/>
      <c r="L101" s="29">
        <f t="shared" si="11"/>
        <v>1500</v>
      </c>
      <c r="M101" s="29">
        <v>158</v>
      </c>
      <c r="N101" s="29">
        <f t="shared" ref="N101:N138" si="15">L101-M101</f>
        <v>1342</v>
      </c>
      <c r="O101" s="39">
        <f t="shared" si="12"/>
        <v>1.1056752477002973E-4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c r="N102" s="29">
        <f t="shared" si="15"/>
        <v>600000</v>
      </c>
      <c r="O102" s="39">
        <f t="shared" si="12"/>
        <v>0</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f>
        <v>1412.57</v>
      </c>
      <c r="N109" s="29">
        <f t="shared" si="15"/>
        <v>3387.4300000000003</v>
      </c>
      <c r="O109" s="39">
        <f t="shared" si="12"/>
        <v>9.885086611670943E-4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v>73800</v>
      </c>
      <c r="N111" s="29">
        <f t="shared" si="15"/>
        <v>1226200</v>
      </c>
      <c r="O111" s="39">
        <f t="shared" si="12"/>
        <v>5.1644831190051858E-2</v>
      </c>
    </row>
    <row r="112" spans="1:15" ht="15.95" customHeight="1" x14ac:dyDescent="0.2">
      <c r="A112" s="42">
        <v>286</v>
      </c>
      <c r="B112" s="30" t="s">
        <v>208</v>
      </c>
      <c r="C112" s="29">
        <v>1500</v>
      </c>
      <c r="D112" s="29"/>
      <c r="E112" s="29"/>
      <c r="F112" s="45"/>
      <c r="G112" s="45"/>
      <c r="H112" s="29"/>
      <c r="I112" s="29"/>
      <c r="J112" s="45"/>
      <c r="K112" s="45"/>
      <c r="L112" s="29">
        <f t="shared" si="11"/>
        <v>1500</v>
      </c>
      <c r="M112" s="29">
        <f>75+59</f>
        <v>134</v>
      </c>
      <c r="N112" s="29">
        <f t="shared" si="15"/>
        <v>1366</v>
      </c>
      <c r="O112" s="39">
        <f t="shared" si="12"/>
        <v>9.377245771635433E-5</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f>
        <v>863.15</v>
      </c>
      <c r="N114" s="29">
        <f t="shared" si="15"/>
        <v>5736.85</v>
      </c>
      <c r="O114" s="39">
        <f t="shared" si="12"/>
        <v>6.0402758864083013E-4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f>
        <v>440.02000000000004</v>
      </c>
      <c r="N115" s="29">
        <f t="shared" si="15"/>
        <v>3559.98</v>
      </c>
      <c r="O115" s="39">
        <f t="shared" si="12"/>
        <v>3.0792355853992713E-4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2.414290888965839E-4</v>
      </c>
    </row>
    <row r="117" spans="1:15" ht="15.95" customHeight="1" x14ac:dyDescent="0.2">
      <c r="A117" s="42" t="s">
        <v>144</v>
      </c>
      <c r="B117" s="30" t="s">
        <v>76</v>
      </c>
      <c r="C117" s="29">
        <v>2000</v>
      </c>
      <c r="D117" s="29"/>
      <c r="E117" s="29"/>
      <c r="F117" s="45"/>
      <c r="G117" s="45"/>
      <c r="H117" s="29"/>
      <c r="I117" s="29"/>
      <c r="J117" s="45"/>
      <c r="K117" s="45"/>
      <c r="L117" s="29">
        <f t="shared" si="11"/>
        <v>2000</v>
      </c>
      <c r="M117" s="29">
        <v>753.25</v>
      </c>
      <c r="N117" s="29">
        <f t="shared" si="15"/>
        <v>1246.75</v>
      </c>
      <c r="O117" s="39">
        <f t="shared" si="12"/>
        <v>5.271201774242082E-4</v>
      </c>
    </row>
    <row r="118" spans="1:15" ht="15.95" customHeight="1" x14ac:dyDescent="0.2">
      <c r="A118" s="42" t="s">
        <v>145</v>
      </c>
      <c r="B118" s="30" t="s">
        <v>211</v>
      </c>
      <c r="C118" s="29">
        <v>9500</v>
      </c>
      <c r="D118" s="29"/>
      <c r="E118" s="29"/>
      <c r="F118" s="45"/>
      <c r="G118" s="45"/>
      <c r="H118" s="29"/>
      <c r="I118" s="29"/>
      <c r="J118" s="45"/>
      <c r="K118" s="45"/>
      <c r="L118" s="29">
        <f t="shared" si="11"/>
        <v>9500</v>
      </c>
      <c r="M118" s="29">
        <v>45.7</v>
      </c>
      <c r="N118" s="29">
        <f t="shared" si="15"/>
        <v>9454.2999999999993</v>
      </c>
      <c r="O118" s="39">
        <f t="shared" si="12"/>
        <v>3.1980606848040245E-5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v>145</v>
      </c>
      <c r="N119" s="29">
        <f t="shared" si="15"/>
        <v>99855</v>
      </c>
      <c r="O119" s="39">
        <f t="shared" si="12"/>
        <v>1.0147019678262222E-4</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f>
        <v>977.38</v>
      </c>
      <c r="N120" s="29">
        <f t="shared" si="15"/>
        <v>8522.6200000000008</v>
      </c>
      <c r="O120" s="39">
        <f t="shared" si="12"/>
        <v>6.8396510987171939E-4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c r="N125" s="29">
        <f t="shared" si="15"/>
        <v>10000</v>
      </c>
      <c r="O125" s="39">
        <f>M125/$M$139</f>
        <v>0</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c r="N127" s="29">
        <f t="shared" si="15"/>
        <v>304035</v>
      </c>
      <c r="O127" s="39">
        <f>M127/$M$139</f>
        <v>0</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1.6614520082848392E-2</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c r="N135" s="29">
        <f t="shared" si="15"/>
        <v>185900</v>
      </c>
      <c r="O135" s="39">
        <f>M135/$M$139</f>
        <v>0</v>
      </c>
    </row>
    <row r="136" spans="1:15" ht="15.95" customHeight="1" x14ac:dyDescent="0.2">
      <c r="A136" s="42" t="s">
        <v>224</v>
      </c>
      <c r="B136" s="30" t="s">
        <v>225</v>
      </c>
      <c r="C136" s="29">
        <v>7170</v>
      </c>
      <c r="D136" s="29"/>
      <c r="E136" s="29"/>
      <c r="F136" s="29"/>
      <c r="G136" s="29"/>
      <c r="H136" s="29"/>
      <c r="I136" s="29"/>
      <c r="J136" s="45"/>
      <c r="K136" s="45"/>
      <c r="L136" s="29">
        <f t="shared" si="18"/>
        <v>7170</v>
      </c>
      <c r="M136" s="29"/>
      <c r="N136" s="29">
        <f t="shared" si="15"/>
        <v>7170</v>
      </c>
      <c r="O136" s="39">
        <f>M136/$M$139</f>
        <v>0</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f>
        <v>5500</v>
      </c>
      <c r="N137" s="29">
        <f t="shared" si="15"/>
        <v>64500</v>
      </c>
      <c r="O137" s="39">
        <f>M137/$M$139</f>
        <v>3.8488695331339463E-3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v>2461.75</v>
      </c>
      <c r="N138" s="29">
        <f t="shared" si="15"/>
        <v>6288.25</v>
      </c>
      <c r="O138" s="39">
        <f>M138/$M$139</f>
        <v>1.722719013307726E-3</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1428991.0199999996</v>
      </c>
      <c r="N139" s="35">
        <f t="shared" si="20"/>
        <v>6829532.6000000006</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v>-105.93</v>
      </c>
      <c r="D151" s="48"/>
      <c r="E151" s="4"/>
      <c r="F151" s="4"/>
      <c r="G151" s="4"/>
      <c r="H151" s="4"/>
      <c r="I151" s="4"/>
      <c r="J151" s="67"/>
      <c r="K151" s="67"/>
      <c r="L151" s="4"/>
    </row>
    <row r="152" spans="1:13" x14ac:dyDescent="0.2">
      <c r="A152" s="55" t="s">
        <v>85</v>
      </c>
      <c r="B152" s="53"/>
      <c r="C152" s="70">
        <f>M26</f>
        <v>2489900.21</v>
      </c>
      <c r="D152" s="48"/>
      <c r="E152" s="4"/>
      <c r="F152" s="4"/>
      <c r="G152" s="4"/>
      <c r="H152" s="4"/>
      <c r="I152" s="4"/>
      <c r="J152" s="67"/>
      <c r="K152" s="67"/>
      <c r="L152" s="4"/>
    </row>
    <row r="153" spans="1:13" x14ac:dyDescent="0.2">
      <c r="A153" s="55" t="s">
        <v>86</v>
      </c>
      <c r="B153" s="53"/>
      <c r="C153" s="71">
        <f>-M139</f>
        <v>-1428991.0199999996</v>
      </c>
      <c r="D153" s="4"/>
      <c r="E153" s="4"/>
      <c r="F153" s="4"/>
      <c r="G153" s="4"/>
      <c r="H153" s="4"/>
      <c r="I153" s="4"/>
      <c r="J153" s="67"/>
      <c r="K153" s="67"/>
      <c r="L153" s="4"/>
    </row>
    <row r="154" spans="1:13" ht="15.75" x14ac:dyDescent="0.25">
      <c r="A154" s="56" t="s">
        <v>87</v>
      </c>
      <c r="B154" s="57"/>
      <c r="C154" s="72">
        <f>SUM(C147:C153)</f>
        <v>3573253.4600000009</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2545.4699999999998</v>
      </c>
      <c r="D159" s="4"/>
      <c r="E159" s="4"/>
      <c r="F159" s="4"/>
      <c r="G159" s="4"/>
      <c r="H159" s="4"/>
      <c r="I159" s="4"/>
      <c r="J159" s="67"/>
      <c r="K159" s="67"/>
      <c r="L159" s="4"/>
    </row>
    <row r="160" spans="1:13" x14ac:dyDescent="0.2">
      <c r="A160" s="55" t="s">
        <v>151</v>
      </c>
      <c r="B160" s="53"/>
      <c r="C160" s="70">
        <f>6894.54+3120.97+646.16</f>
        <v>10661.67</v>
      </c>
      <c r="D160" s="80"/>
      <c r="E160" s="4"/>
      <c r="F160" s="4"/>
      <c r="G160" s="4"/>
      <c r="H160" s="4"/>
      <c r="I160" s="4"/>
      <c r="J160" s="67"/>
      <c r="K160" s="67"/>
      <c r="L160" s="4"/>
    </row>
    <row r="161" spans="1:13" x14ac:dyDescent="0.2">
      <c r="A161" s="55" t="s">
        <v>150</v>
      </c>
      <c r="B161" s="53"/>
      <c r="C161" s="70">
        <v>1837.54</v>
      </c>
      <c r="D161" s="81"/>
      <c r="E161" s="4"/>
      <c r="F161" s="4"/>
      <c r="G161" s="4"/>
      <c r="H161" s="4"/>
      <c r="I161" s="4"/>
      <c r="J161" s="67"/>
      <c r="K161" s="67"/>
      <c r="L161" s="4"/>
    </row>
    <row r="162" spans="1:13" x14ac:dyDescent="0.2">
      <c r="A162" s="55" t="s">
        <v>149</v>
      </c>
      <c r="B162" s="53"/>
      <c r="C162" s="70">
        <f>7706.23-1837.54</f>
        <v>5868.69</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261</v>
      </c>
      <c r="B164" s="53"/>
      <c r="C164" s="70"/>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21185.37</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3594438.830000001</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267</v>
      </c>
      <c r="B172" s="59"/>
      <c r="C172" s="69">
        <f>C154+C167</f>
        <v>3594438.830000001</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11" t="s">
        <v>240</v>
      </c>
      <c r="C184" s="13" t="s">
        <v>230</v>
      </c>
      <c r="G184" s="11" t="s">
        <v>251</v>
      </c>
      <c r="J184" s="13" t="s">
        <v>238</v>
      </c>
      <c r="K184" s="75"/>
    </row>
    <row r="185" spans="2:12" x14ac:dyDescent="0.2">
      <c r="B185" s="11" t="s">
        <v>89</v>
      </c>
      <c r="C185" s="13" t="s">
        <v>90</v>
      </c>
      <c r="G185" s="11" t="s">
        <v>252</v>
      </c>
      <c r="J185" s="11"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2B57-0CB4-40C6-A77B-CE992E7B69B2}">
  <dimension ref="A1:O208"/>
  <sheetViews>
    <sheetView topLeftCell="A136" zoomScaleNormal="100" workbookViewId="0">
      <selection activeCell="C160" sqref="C160"/>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f>
        <v>22000</v>
      </c>
      <c r="N10" s="29">
        <f t="shared" ref="N10:N22" si="1">L10-M10</f>
        <v>15000</v>
      </c>
      <c r="O10" s="28">
        <f>M10/$M$26</f>
        <v>7.8400251981260802E-3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f>
        <v>30151.5</v>
      </c>
      <c r="N12" s="29">
        <f t="shared" si="1"/>
        <v>348.5</v>
      </c>
      <c r="O12" s="28">
        <f>M12/$M$26</f>
        <v>1.0744932716422658E-2</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1350.3+2998.52+1574.78+1480.71+2979.46</f>
        <v>10383.77</v>
      </c>
      <c r="N15" s="29">
        <f t="shared" si="1"/>
        <v>-1583.7700000000004</v>
      </c>
      <c r="O15" s="28">
        <f>M15/$M$26</f>
        <v>3.7004099296157112E-3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324883.58+265491.21+249714.95+249714.95+249714.95+296154.05+311633.76</f>
        <v>1947307.45</v>
      </c>
      <c r="N18" s="29">
        <f t="shared" si="1"/>
        <v>1722642.07</v>
      </c>
      <c r="O18" s="28">
        <f>M18/$M$26</f>
        <v>0.69395179438630183</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f>
        <v>796270.71</v>
      </c>
      <c r="N20" s="29">
        <f t="shared" si="1"/>
        <v>1107905.17</v>
      </c>
      <c r="O20" s="28">
        <f>M20/$M$26</f>
        <v>0.28376283776953382</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2806113.4299999997</v>
      </c>
      <c r="N26" s="35">
        <f t="shared" si="2"/>
        <v>5452410.1899999995</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f>
        <v>430925.3</v>
      </c>
      <c r="N31" s="29">
        <f t="shared" ref="N31:N100" si="3">L31-M31</f>
        <v>368646.74000000005</v>
      </c>
      <c r="O31" s="39">
        <f>M31/$M$139</f>
        <v>0.18400278803580181</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f>
        <v>7875</v>
      </c>
      <c r="N32" s="29">
        <f t="shared" si="3"/>
        <v>5825</v>
      </c>
      <c r="O32" s="39">
        <f>M32/$M$139</f>
        <v>3.3625826930605818E-3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f>
        <v>147925.11000000002</v>
      </c>
      <c r="N33" s="29">
        <f t="shared" si="3"/>
        <v>163174.88999999998</v>
      </c>
      <c r="O33" s="39">
        <f>M33/$M$139</f>
        <v>6.3163227270486719E-2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v>1080</v>
      </c>
      <c r="N36" s="29">
        <f t="shared" si="3"/>
        <v>16420</v>
      </c>
      <c r="O36" s="39">
        <f t="shared" ref="O36:O42" si="5">M36/$M$139</f>
        <v>4.6115419790545122E-4</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3669.23+3812.08+1678.08+1537.98+3962.93</f>
        <v>14660.3</v>
      </c>
      <c r="N37" s="29">
        <f t="shared" si="3"/>
        <v>19850.500000000004</v>
      </c>
      <c r="O37" s="39">
        <f t="shared" si="5"/>
        <v>6.2598693403271167E-3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6536.21+6924.6+7121.94+7174.86+6909.49+6894.54+7178.39</f>
        <v>48740.03</v>
      </c>
      <c r="N38" s="29">
        <f t="shared" si="3"/>
        <v>38661.119999999995</v>
      </c>
      <c r="O38" s="39">
        <f t="shared" si="5"/>
        <v>2.081173096346077E-2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587.53+672.57+667.47+672.43+647.56+646.16+672.76</f>
        <v>4566.4799999999996</v>
      </c>
      <c r="N39" s="29">
        <f t="shared" si="3"/>
        <v>3624.3600000000006</v>
      </c>
      <c r="O39" s="39">
        <f t="shared" si="5"/>
        <v>1.9498624274548932E-3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v>919.03</v>
      </c>
      <c r="N40" s="29">
        <f t="shared" si="3"/>
        <v>66661.98</v>
      </c>
      <c r="O40" s="39">
        <f t="shared" si="5"/>
        <v>3.924208726861545E-4</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v>64600.41</v>
      </c>
      <c r="N41" s="29">
        <f t="shared" si="3"/>
        <v>2980.5999999999913</v>
      </c>
      <c r="O41" s="39">
        <f t="shared" si="5"/>
        <v>2.7584028016586382E-2</v>
      </c>
    </row>
    <row r="42" spans="1:15" ht="15.95" customHeight="1" x14ac:dyDescent="0.2">
      <c r="A42" s="42" t="s">
        <v>47</v>
      </c>
      <c r="B42" s="30" t="s">
        <v>48</v>
      </c>
      <c r="C42" s="29">
        <v>4400</v>
      </c>
      <c r="D42" s="29"/>
      <c r="E42" s="29"/>
      <c r="F42" s="45"/>
      <c r="G42" s="45"/>
      <c r="H42" s="29"/>
      <c r="I42" s="29"/>
      <c r="J42" s="45"/>
      <c r="K42" s="45"/>
      <c r="L42" s="29">
        <f t="shared" si="4"/>
        <v>4400</v>
      </c>
      <c r="M42" s="29">
        <v>104.11</v>
      </c>
      <c r="N42" s="29">
        <f t="shared" si="3"/>
        <v>4295.8900000000003</v>
      </c>
      <c r="O42" s="39">
        <f t="shared" si="5"/>
        <v>4.4454410688830117E-5</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530.61+1202.11+1310.83+1071.3+1507.98+1507.98+1349.52</f>
        <v>8480.33</v>
      </c>
      <c r="N46" s="29">
        <f t="shared" si="3"/>
        <v>5269.67</v>
      </c>
      <c r="O46" s="39">
        <f t="shared" ref="O46:O55" si="7">M46/$M$139</f>
        <v>3.6210553510403103E-3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f>
        <v>8393.82</v>
      </c>
      <c r="N47" s="29">
        <f t="shared" si="3"/>
        <v>17706.18</v>
      </c>
      <c r="O47" s="39">
        <f t="shared" si="7"/>
        <v>3.5841160457988283E-3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1.3066035607321119E-3</v>
      </c>
    </row>
    <row r="50" spans="1:15" ht="15.95" customHeight="1" x14ac:dyDescent="0.2">
      <c r="A50" s="42" t="s">
        <v>96</v>
      </c>
      <c r="B50" s="30" t="s">
        <v>161</v>
      </c>
      <c r="C50" s="29">
        <v>14250</v>
      </c>
      <c r="D50" s="29"/>
      <c r="E50" s="29"/>
      <c r="F50" s="45"/>
      <c r="G50" s="45"/>
      <c r="H50" s="29"/>
      <c r="I50" s="29"/>
      <c r="J50" s="45"/>
      <c r="K50" s="45"/>
      <c r="L50" s="29">
        <f t="shared" si="6"/>
        <v>14250</v>
      </c>
      <c r="M50" s="29">
        <f>18.9+13.5+13.5+152.35+18.9+138.2+3349</f>
        <v>3704.35</v>
      </c>
      <c r="N50" s="29">
        <f t="shared" si="3"/>
        <v>10545.65</v>
      </c>
      <c r="O50" s="39">
        <f t="shared" si="7"/>
        <v>1.5817375490843131E-3</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f>90330.35+113542.08</f>
        <v>203872.43</v>
      </c>
      <c r="N51" s="29">
        <f t="shared" si="3"/>
        <v>413969.11999999994</v>
      </c>
      <c r="O51" s="39">
        <f t="shared" si="7"/>
        <v>8.7052432344153011E-2</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f>2894.44+80982.64+132982.32</f>
        <v>216859.40000000002</v>
      </c>
      <c r="N52" s="29">
        <f t="shared" si="3"/>
        <v>346883.29999999993</v>
      </c>
      <c r="O52" s="39">
        <f t="shared" si="7"/>
        <v>9.2597798764127243E-2</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29413.01+7189.7+7639.88+133891.61+29801.07</f>
        <v>207935.27</v>
      </c>
      <c r="N53" s="29">
        <f t="shared" si="3"/>
        <v>293050.09999999998</v>
      </c>
      <c r="O53" s="39">
        <f t="shared" si="7"/>
        <v>8.8787243197317997E-2</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v>9300</v>
      </c>
      <c r="N54" s="29">
        <f t="shared" si="3"/>
        <v>40700</v>
      </c>
      <c r="O54" s="39">
        <f t="shared" si="7"/>
        <v>3.9710500375191634E-3</v>
      </c>
    </row>
    <row r="55" spans="1:15" ht="15.95" customHeight="1" x14ac:dyDescent="0.2">
      <c r="A55" s="42" t="s">
        <v>101</v>
      </c>
      <c r="B55" s="30" t="s">
        <v>55</v>
      </c>
      <c r="C55" s="29">
        <v>75000</v>
      </c>
      <c r="D55" s="29"/>
      <c r="E55" s="29"/>
      <c r="F55" s="45"/>
      <c r="G55" s="45"/>
      <c r="H55" s="29"/>
      <c r="I55" s="29"/>
      <c r="J55" s="45"/>
      <c r="K55" s="45"/>
      <c r="L55" s="29">
        <f>C55+D55-E55+F55-G55+H55+J55-I55-K55</f>
        <v>75000</v>
      </c>
      <c r="M55" s="29">
        <v>5700</v>
      </c>
      <c r="N55" s="29">
        <f t="shared" si="3"/>
        <v>69300</v>
      </c>
      <c r="O55" s="39">
        <f t="shared" si="7"/>
        <v>2.4338693778343259E-3</v>
      </c>
    </row>
    <row r="56" spans="1:15" ht="15.95" customHeight="1" x14ac:dyDescent="0.2">
      <c r="A56" s="42">
        <v>151</v>
      </c>
      <c r="B56" s="30" t="s">
        <v>249</v>
      </c>
      <c r="C56" s="29">
        <v>90000</v>
      </c>
      <c r="D56" s="29"/>
      <c r="E56" s="29"/>
      <c r="F56" s="45"/>
      <c r="G56" s="45"/>
      <c r="H56" s="29"/>
      <c r="I56" s="29"/>
      <c r="J56" s="45"/>
      <c r="K56" s="45"/>
      <c r="L56" s="29">
        <f t="shared" si="6"/>
        <v>90000</v>
      </c>
      <c r="M56" s="29">
        <f>11250+11250+11250</f>
        <v>33750</v>
      </c>
      <c r="N56" s="29">
        <f t="shared" si="3"/>
        <v>56250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1.7933774362989771E-3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3600+750+5500</f>
        <v>9850</v>
      </c>
      <c r="N59" s="29">
        <f t="shared" si="3"/>
        <v>-2100</v>
      </c>
      <c r="O59" s="39">
        <f t="shared" si="8"/>
        <v>4.2058970827487914E-3</v>
      </c>
    </row>
    <row r="60" spans="1:15" ht="15.95" customHeight="1" x14ac:dyDescent="0.2">
      <c r="A60" s="42" t="s">
        <v>105</v>
      </c>
      <c r="B60" s="30" t="s">
        <v>166</v>
      </c>
      <c r="C60" s="29">
        <v>7000</v>
      </c>
      <c r="D60" s="29"/>
      <c r="E60" s="29"/>
      <c r="F60" s="45"/>
      <c r="G60" s="45"/>
      <c r="H60" s="29"/>
      <c r="I60" s="29"/>
      <c r="J60" s="45"/>
      <c r="K60" s="45"/>
      <c r="L60" s="29">
        <f t="shared" si="6"/>
        <v>7000</v>
      </c>
      <c r="M60" s="29">
        <f>10354.57+530.59</f>
        <v>10885.16</v>
      </c>
      <c r="N60" s="29">
        <f t="shared" si="3"/>
        <v>-3885.16</v>
      </c>
      <c r="O60" s="39">
        <f t="shared" si="8"/>
        <v>4.6479048415486125E-3</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7.0881108196578621E-4</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4500+4500+4500+4500+4500+4500+4500</f>
        <v>31500</v>
      </c>
      <c r="N68" s="29">
        <f t="shared" si="3"/>
        <v>22500</v>
      </c>
      <c r="O68" s="39">
        <f t="shared" si="9"/>
        <v>1.3450330772242327E-2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4500+4500+4500+4500+4500+4500+4500</f>
        <v>31500</v>
      </c>
      <c r="N69" s="29">
        <f t="shared" si="3"/>
        <v>22500</v>
      </c>
      <c r="O69" s="39">
        <f t="shared" si="9"/>
        <v>1.3450330772242327E-2</v>
      </c>
    </row>
    <row r="70" spans="1:15" ht="15.95" customHeight="1" x14ac:dyDescent="0.2">
      <c r="A70" s="42" t="s">
        <v>112</v>
      </c>
      <c r="B70" s="30" t="s">
        <v>57</v>
      </c>
      <c r="C70" s="29">
        <v>7500</v>
      </c>
      <c r="D70" s="29"/>
      <c r="E70" s="29"/>
      <c r="F70" s="45"/>
      <c r="G70" s="45"/>
      <c r="H70" s="29"/>
      <c r="I70" s="29"/>
      <c r="J70" s="45"/>
      <c r="K70" s="45"/>
      <c r="L70" s="29">
        <f t="shared" si="6"/>
        <v>7500</v>
      </c>
      <c r="M70" s="29">
        <f>117.6+235.2</f>
        <v>352.79999999999995</v>
      </c>
      <c r="N70" s="29">
        <f t="shared" si="3"/>
        <v>7147.2</v>
      </c>
      <c r="O70" s="39">
        <f t="shared" si="9"/>
        <v>1.5064370464911404E-4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1500+70267.86+117000.9+24486.58+24517.72+70585.29</f>
        <v>308358.35000000003</v>
      </c>
      <c r="N72" s="29">
        <f t="shared" si="3"/>
        <v>554941.64999999991</v>
      </c>
      <c r="O72" s="39">
        <f t="shared" si="9"/>
        <v>0.13166735885342445</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f>
        <v>745.98000000000013</v>
      </c>
      <c r="N76" s="29">
        <f t="shared" si="3"/>
        <v>1754.02</v>
      </c>
      <c r="O76" s="39">
        <f t="shared" si="9"/>
        <v>3.185294523643598E-4</v>
      </c>
    </row>
    <row r="77" spans="1:15" ht="15.95" customHeight="1" x14ac:dyDescent="0.2">
      <c r="A77" s="42" t="s">
        <v>119</v>
      </c>
      <c r="B77" s="30" t="s">
        <v>59</v>
      </c>
      <c r="C77" s="29">
        <v>125000</v>
      </c>
      <c r="D77" s="29"/>
      <c r="E77" s="29"/>
      <c r="F77" s="45"/>
      <c r="G77" s="45"/>
      <c r="H77" s="29"/>
      <c r="I77" s="29"/>
      <c r="J77" s="45"/>
      <c r="K77" s="45"/>
      <c r="L77" s="29">
        <f t="shared" si="6"/>
        <v>125000</v>
      </c>
      <c r="M77" s="29">
        <f>35.1+230.2+54994.3</f>
        <v>55259.600000000006</v>
      </c>
      <c r="N77" s="29">
        <f t="shared" si="3"/>
        <v>69740.399999999994</v>
      </c>
      <c r="O77" s="39">
        <f t="shared" si="9"/>
        <v>2.3595552328311183E-2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55+100.4+3468.75+29477.11</f>
        <v>33101.26</v>
      </c>
      <c r="N80" s="29">
        <f t="shared" si="3"/>
        <v>17898.739999999998</v>
      </c>
      <c r="O80" s="39">
        <f t="shared" si="9"/>
        <v>1.413406018977759E-2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f>
        <v>27604</v>
      </c>
      <c r="N84" s="29">
        <f t="shared" si="3"/>
        <v>119180.1</v>
      </c>
      <c r="O84" s="39">
        <f t="shared" ref="O84:O120" si="12">M84/$M$139</f>
        <v>1.1786759702761182E-2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f>752+10750</f>
        <v>11502</v>
      </c>
      <c r="N89" s="29">
        <f t="shared" si="3"/>
        <v>22298</v>
      </c>
      <c r="O89" s="39">
        <f t="shared" si="12"/>
        <v>4.9112922076930557E-3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f>
        <v>2299.6999999999998</v>
      </c>
      <c r="N90" s="29">
        <f t="shared" si="3"/>
        <v>2950.3</v>
      </c>
      <c r="O90" s="39">
        <f t="shared" si="12"/>
        <v>9.8195954529922799E-4</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f>
        <v>4323.17</v>
      </c>
      <c r="N91" s="29">
        <f t="shared" si="3"/>
        <v>6176.83</v>
      </c>
      <c r="O91" s="39">
        <f t="shared" si="12"/>
        <v>1.845970364591583E-3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f>
        <v>1149.8</v>
      </c>
      <c r="N92" s="29">
        <f t="shared" si="3"/>
        <v>1900.2</v>
      </c>
      <c r="O92" s="39">
        <f t="shared" si="12"/>
        <v>4.9095842291822941E-4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v>23.5</v>
      </c>
      <c r="N96" s="29">
        <f t="shared" si="3"/>
        <v>2776.5</v>
      </c>
      <c r="O96" s="39">
        <f t="shared" si="12"/>
        <v>1.0034373750720467E-5</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270+340.02+1364.45+745+1028.98+290.05+1492.34</f>
        <v>5530.84</v>
      </c>
      <c r="N97" s="29">
        <f t="shared" si="3"/>
        <v>2969.16</v>
      </c>
      <c r="O97" s="39">
        <f t="shared" si="12"/>
        <v>2.3616389666142462E-3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f>
        <v>2723.3</v>
      </c>
      <c r="N99" s="29">
        <f t="shared" si="3"/>
        <v>14776.7</v>
      </c>
      <c r="O99" s="39">
        <f t="shared" si="12"/>
        <v>1.1628344695888105E-3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67.75+182.63+3.55+237.64+423.48+1967.44</f>
        <v>2882.49</v>
      </c>
      <c r="N100" s="29">
        <f t="shared" si="3"/>
        <v>117.51000000000022</v>
      </c>
      <c r="O100" s="39">
        <f t="shared" si="12"/>
        <v>1.2308077443708185E-3</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2.7583852948789026E-4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v>203220.76</v>
      </c>
      <c r="N102" s="29">
        <f t="shared" si="15"/>
        <v>396779.24</v>
      </c>
      <c r="O102" s="39">
        <f t="shared" si="12"/>
        <v>8.6774172755126125E-2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f>
        <v>1412.57</v>
      </c>
      <c r="N109" s="29">
        <f t="shared" si="15"/>
        <v>3387.4300000000003</v>
      </c>
      <c r="O109" s="39">
        <f t="shared" si="12"/>
        <v>6.0315980123639183E-4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v>73800</v>
      </c>
      <c r="N111" s="29">
        <f t="shared" si="15"/>
        <v>1226200</v>
      </c>
      <c r="O111" s="39">
        <f t="shared" si="12"/>
        <v>3.1512203523539166E-2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f>
        <v>335.5</v>
      </c>
      <c r="N112" s="29">
        <f t="shared" si="15"/>
        <v>1164.5</v>
      </c>
      <c r="O112" s="39">
        <f t="shared" si="12"/>
        <v>1.4325669759007305E-4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f>
        <v>988.35</v>
      </c>
      <c r="N114" s="29">
        <f t="shared" si="15"/>
        <v>5611.65</v>
      </c>
      <c r="O114" s="39">
        <f t="shared" si="12"/>
        <v>4.2202014027764145E-4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f>
        <v>1013.27</v>
      </c>
      <c r="N115" s="29">
        <f t="shared" si="15"/>
        <v>2986.73</v>
      </c>
      <c r="O115" s="39">
        <f t="shared" si="12"/>
        <v>4.3266084639968203E-4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1.4731314655313024E-4</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f>
        <v>1531.6799999999998</v>
      </c>
      <c r="N117" s="29">
        <f t="shared" si="15"/>
        <v>468.32000000000016</v>
      </c>
      <c r="O117" s="39">
        <f t="shared" si="12"/>
        <v>6.5401913134057539E-4</v>
      </c>
    </row>
    <row r="118" spans="1:15" ht="15.95" customHeight="1" x14ac:dyDescent="0.2">
      <c r="A118" s="42" t="s">
        <v>145</v>
      </c>
      <c r="B118" s="30" t="s">
        <v>211</v>
      </c>
      <c r="C118" s="29">
        <v>9500</v>
      </c>
      <c r="D118" s="29"/>
      <c r="E118" s="29"/>
      <c r="F118" s="45"/>
      <c r="G118" s="45"/>
      <c r="H118" s="29"/>
      <c r="I118" s="29"/>
      <c r="J118" s="45"/>
      <c r="K118" s="45"/>
      <c r="L118" s="29">
        <f t="shared" si="11"/>
        <v>9500</v>
      </c>
      <c r="M118" s="29">
        <v>45.7</v>
      </c>
      <c r="N118" s="29">
        <f t="shared" si="15"/>
        <v>9454.2999999999993</v>
      </c>
      <c r="O118" s="39">
        <f t="shared" si="12"/>
        <v>1.9513654485443632E-5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v>145</v>
      </c>
      <c r="N119" s="29">
        <f t="shared" si="15"/>
        <v>99855</v>
      </c>
      <c r="O119" s="39">
        <f t="shared" si="12"/>
        <v>6.1914221015083734E-5</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f>
        <v>1149.18</v>
      </c>
      <c r="N120" s="29">
        <f t="shared" si="15"/>
        <v>8350.82</v>
      </c>
      <c r="O120" s="39">
        <f t="shared" si="12"/>
        <v>4.9069368624906154E-4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1.2807276862940838E-3</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1.725224823773339E-2</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1.0137706450621503E-2</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v>1036.46</v>
      </c>
      <c r="N135" s="29">
        <f t="shared" si="15"/>
        <v>184863.54</v>
      </c>
      <c r="O135" s="39">
        <f>M135/$M$139</f>
        <v>4.4256285181581853E-4</v>
      </c>
    </row>
    <row r="136" spans="1:15" ht="15.95" customHeight="1" x14ac:dyDescent="0.2">
      <c r="A136" s="42" t="s">
        <v>224</v>
      </c>
      <c r="B136" s="30" t="s">
        <v>225</v>
      </c>
      <c r="C136" s="29">
        <v>7170</v>
      </c>
      <c r="D136" s="29"/>
      <c r="E136" s="29"/>
      <c r="F136" s="29"/>
      <c r="G136" s="29"/>
      <c r="H136" s="29"/>
      <c r="I136" s="29"/>
      <c r="J136" s="45"/>
      <c r="K136" s="45"/>
      <c r="L136" s="29">
        <f t="shared" si="18"/>
        <v>7170</v>
      </c>
      <c r="M136" s="29">
        <v>706.2</v>
      </c>
      <c r="N136" s="29">
        <f t="shared" si="15"/>
        <v>6463.8</v>
      </c>
      <c r="O136" s="39">
        <f>M136/$M$139</f>
        <v>3.0154360607484231E-4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f>
        <v>7000</v>
      </c>
      <c r="N137" s="29">
        <f t="shared" si="15"/>
        <v>63000</v>
      </c>
      <c r="O137" s="39">
        <f>M137/$M$139</f>
        <v>2.9889623938316283E-3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v>2461.75</v>
      </c>
      <c r="N138" s="29">
        <f t="shared" si="15"/>
        <v>6288.25</v>
      </c>
      <c r="O138" s="39">
        <f>M138/$M$139</f>
        <v>1.0511540247164302E-3</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2341949.8400000003</v>
      </c>
      <c r="N139" s="35">
        <f t="shared" si="20"/>
        <v>5916573.7800000003</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v>-0.26</v>
      </c>
      <c r="D151" s="48"/>
      <c r="E151" s="4"/>
      <c r="F151" s="4"/>
      <c r="G151" s="4"/>
      <c r="H151" s="4"/>
      <c r="I151" s="4"/>
      <c r="J151" s="67"/>
      <c r="K151" s="67"/>
      <c r="L151" s="4"/>
    </row>
    <row r="152" spans="1:13" x14ac:dyDescent="0.2">
      <c r="A152" s="55" t="s">
        <v>85</v>
      </c>
      <c r="B152" s="53"/>
      <c r="C152" s="70">
        <f>M26</f>
        <v>2806113.4299999997</v>
      </c>
      <c r="D152" s="48"/>
      <c r="E152" s="4"/>
      <c r="F152" s="4"/>
      <c r="G152" s="4"/>
      <c r="H152" s="4"/>
      <c r="I152" s="4"/>
      <c r="J152" s="67"/>
      <c r="K152" s="67"/>
      <c r="L152" s="4"/>
    </row>
    <row r="153" spans="1:13" x14ac:dyDescent="0.2">
      <c r="A153" s="55" t="s">
        <v>86</v>
      </c>
      <c r="B153" s="53"/>
      <c r="C153" s="71">
        <f>-M139</f>
        <v>-2341949.8400000003</v>
      </c>
      <c r="D153" s="4"/>
      <c r="E153" s="4"/>
      <c r="F153" s="4"/>
      <c r="G153" s="4"/>
      <c r="H153" s="4"/>
      <c r="I153" s="4"/>
      <c r="J153" s="67"/>
      <c r="K153" s="67"/>
      <c r="L153" s="4"/>
    </row>
    <row r="154" spans="1:13" ht="15.75" x14ac:dyDescent="0.25">
      <c r="A154" s="56" t="s">
        <v>87</v>
      </c>
      <c r="B154" s="57"/>
      <c r="C154" s="72">
        <f>SUM(C147:C153)</f>
        <v>2976613.53</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7851.99</v>
      </c>
      <c r="D159" s="4"/>
      <c r="E159" s="4"/>
      <c r="F159" s="4"/>
      <c r="G159" s="4"/>
      <c r="H159" s="4"/>
      <c r="I159" s="4"/>
      <c r="J159" s="67"/>
      <c r="K159" s="67"/>
      <c r="L159" s="4"/>
    </row>
    <row r="160" spans="1:13" x14ac:dyDescent="0.2">
      <c r="A160" s="55" t="s">
        <v>151</v>
      </c>
      <c r="B160" s="53"/>
      <c r="C160" s="70">
        <f>7178.39+3249.44+672.76</f>
        <v>11100.59</v>
      </c>
      <c r="D160" s="80"/>
      <c r="E160" s="4"/>
      <c r="F160" s="4"/>
      <c r="G160" s="4"/>
      <c r="H160" s="4"/>
      <c r="I160" s="4"/>
      <c r="J160" s="67"/>
      <c r="K160" s="67"/>
      <c r="L160" s="4"/>
    </row>
    <row r="161" spans="1:13" x14ac:dyDescent="0.2">
      <c r="A161" s="55" t="s">
        <v>150</v>
      </c>
      <c r="B161" s="53"/>
      <c r="C161" s="70">
        <f>1837.55-52.92</f>
        <v>1784.6299999999999</v>
      </c>
      <c r="D161" s="81"/>
      <c r="E161" s="4"/>
      <c r="F161" s="4"/>
      <c r="G161" s="4"/>
      <c r="H161" s="4"/>
      <c r="I161" s="4"/>
      <c r="J161" s="67"/>
      <c r="K161" s="67"/>
      <c r="L161" s="4"/>
    </row>
    <row r="162" spans="1:13" x14ac:dyDescent="0.2">
      <c r="A162" s="55" t="s">
        <v>149</v>
      </c>
      <c r="B162" s="53"/>
      <c r="C162" s="70">
        <f>7053.62+3271.66</f>
        <v>10325.279999999999</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261</v>
      </c>
      <c r="B164" s="53"/>
      <c r="C164" s="70">
        <v>117.7</v>
      </c>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31452.190000000002</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3008065.7199999997</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269</v>
      </c>
      <c r="B172" s="59"/>
      <c r="C172" s="69">
        <f>C154+C167</f>
        <v>3008065.7199999997</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11" t="s">
        <v>240</v>
      </c>
      <c r="C184" s="13" t="s">
        <v>230</v>
      </c>
      <c r="G184" s="11" t="s">
        <v>251</v>
      </c>
      <c r="J184" s="13" t="s">
        <v>238</v>
      </c>
      <c r="K184" s="75"/>
    </row>
    <row r="185" spans="2:12" x14ac:dyDescent="0.2">
      <c r="B185" s="11" t="s">
        <v>89</v>
      </c>
      <c r="C185" s="13" t="s">
        <v>90</v>
      </c>
      <c r="G185" s="11" t="s">
        <v>252</v>
      </c>
      <c r="J185" s="11"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ignoredErrors>
    <ignoredError sqref="L12"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64CFB-3411-4B76-A1F2-F26F53A7D12E}">
  <dimension ref="A1:O208"/>
  <sheetViews>
    <sheetView topLeftCell="A127" zoomScaleNormal="100" workbookViewId="0">
      <selection activeCell="C160" sqref="C160"/>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12800+3800+2400-400+200+1200+400+1600+200</f>
        <v>22200</v>
      </c>
      <c r="N10" s="29">
        <f t="shared" ref="N10:N22" si="1">L10-M10</f>
        <v>14800</v>
      </c>
      <c r="O10" s="28">
        <f>M10/$M$26</f>
        <v>6.2070486388776935E-3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28839+1312.5+117.7</f>
        <v>30269.200000000001</v>
      </c>
      <c r="N12" s="29">
        <f t="shared" si="1"/>
        <v>230.79999999999927</v>
      </c>
      <c r="O12" s="28">
        <f>M12/$M$26</f>
        <v>8.4631710207169683E-3</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1350.3+2998.52+1574.78+1480.71+2979.46+1449.6</f>
        <v>11833.37</v>
      </c>
      <c r="N15" s="29">
        <f t="shared" si="1"/>
        <v>-3033.3700000000008</v>
      </c>
      <c r="O15" s="28">
        <f>M15/$M$26</f>
        <v>3.3085722140466728E-3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324883.58+265491.21+249714.95+249714.95+249714.95+296154.05+311633.76+249714.95</f>
        <v>2197022.4</v>
      </c>
      <c r="N18" s="29">
        <f t="shared" si="1"/>
        <v>1472927.12</v>
      </c>
      <c r="O18" s="28">
        <f>M18/$M$26</f>
        <v>0.61428040078845958</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258799.62+537471.09+518983.35</f>
        <v>1315254.06</v>
      </c>
      <c r="N20" s="29">
        <f t="shared" si="1"/>
        <v>588921.81999999983</v>
      </c>
      <c r="O20" s="28">
        <f>M20/$M$26</f>
        <v>0.3677408073378991</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3576579.03</v>
      </c>
      <c r="N26" s="35">
        <f t="shared" si="2"/>
        <v>4681944.59</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62931.76+63078.14+63078.14+63431.24-823.9+59547.14+59547.14+60135.64+63078.14</f>
        <v>494003.44</v>
      </c>
      <c r="N31" s="29">
        <f t="shared" ref="N31:N100" si="3">L31-M31</f>
        <v>305568.60000000003</v>
      </c>
      <c r="O31" s="39">
        <f>M31/$M$139</f>
        <v>0.19033173824246688</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1125+1125+1125+1125+1125+1125+1125+1125</f>
        <v>9000</v>
      </c>
      <c r="N32" s="29">
        <f t="shared" si="3"/>
        <v>4700</v>
      </c>
      <c r="O32" s="39">
        <f>M32/$M$139</f>
        <v>3.4675581291138415E-3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21149+21149+21149+21000.64+19849+22380.68+21247.79+22440.75</f>
        <v>170365.86000000002</v>
      </c>
      <c r="N33" s="29">
        <f t="shared" si="3"/>
        <v>140734.13999999998</v>
      </c>
      <c r="O33" s="39">
        <f>M33/$M$139</f>
        <v>6.5639280307385639E-2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f>1080+1800</f>
        <v>2880</v>
      </c>
      <c r="N36" s="29">
        <f t="shared" si="3"/>
        <v>14620</v>
      </c>
      <c r="O36" s="39">
        <f t="shared" ref="O36:O42" si="5">M36/$M$139</f>
        <v>1.1096186013164293E-3</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3669.23+3812.08+1678.08+1537.98+3962.93</f>
        <v>14660.3</v>
      </c>
      <c r="N37" s="29">
        <f t="shared" si="3"/>
        <v>19850.500000000004</v>
      </c>
      <c r="O37" s="39">
        <f t="shared" si="5"/>
        <v>5.64838249336085E-3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6536.21+6924.6+7121.94+7174.86+6909.49+6894.54+7178.39+6730.44</f>
        <v>55470.47</v>
      </c>
      <c r="N38" s="29">
        <f t="shared" si="3"/>
        <v>31930.679999999993</v>
      </c>
      <c r="O38" s="39">
        <f t="shared" si="5"/>
        <v>2.1371897686029498E-2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587.53+672.57+667.47+672.43+647.56+646.16+672.76+630.78</f>
        <v>5197.2599999999993</v>
      </c>
      <c r="N39" s="29">
        <f t="shared" si="3"/>
        <v>2993.5800000000008</v>
      </c>
      <c r="O39" s="39">
        <f t="shared" si="5"/>
        <v>2.0024223513464669E-3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v>919.03</v>
      </c>
      <c r="N40" s="29">
        <f t="shared" si="3"/>
        <v>66661.98</v>
      </c>
      <c r="O40" s="39">
        <f t="shared" si="5"/>
        <v>3.5408777193327706E-4</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v>64600.41</v>
      </c>
      <c r="N41" s="29">
        <f t="shared" si="3"/>
        <v>2980.5999999999913</v>
      </c>
      <c r="O41" s="39">
        <f t="shared" si="5"/>
        <v>2.4889519648843013E-2</v>
      </c>
    </row>
    <row r="42" spans="1:15" ht="15.95" customHeight="1" x14ac:dyDescent="0.2">
      <c r="A42" s="42" t="s">
        <v>47</v>
      </c>
      <c r="B42" s="30" t="s">
        <v>48</v>
      </c>
      <c r="C42" s="29">
        <v>4400</v>
      </c>
      <c r="D42" s="29"/>
      <c r="E42" s="29"/>
      <c r="F42" s="45"/>
      <c r="G42" s="45"/>
      <c r="H42" s="29"/>
      <c r="I42" s="29"/>
      <c r="J42" s="45"/>
      <c r="K42" s="45"/>
      <c r="L42" s="29">
        <f t="shared" si="4"/>
        <v>4400</v>
      </c>
      <c r="M42" s="29">
        <v>104.11</v>
      </c>
      <c r="N42" s="29">
        <f t="shared" si="3"/>
        <v>4295.8900000000003</v>
      </c>
      <c r="O42" s="39">
        <f t="shared" si="5"/>
        <v>4.0111941869115784E-5</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530.61+1202.11+1310.83+1071.3+1507.98+1507.98+1349.52+1511.74</f>
        <v>9992.07</v>
      </c>
      <c r="N46" s="29">
        <f t="shared" si="3"/>
        <v>3757.9300000000003</v>
      </c>
      <c r="O46" s="39">
        <f t="shared" ref="O46:O55" si="7">M46/$M$139</f>
        <v>3.8497870616860603E-3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4693.76+608+615.86+618+618+618+622.2+618</f>
        <v>9011.82</v>
      </c>
      <c r="N47" s="29">
        <f t="shared" si="3"/>
        <v>17088.18</v>
      </c>
      <c r="O47" s="39">
        <f t="shared" si="7"/>
        <v>3.4721121887900776E-3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1.1789697638987062E-3</v>
      </c>
    </row>
    <row r="50" spans="1:15" ht="15.95" customHeight="1" x14ac:dyDescent="0.2">
      <c r="A50" s="42" t="s">
        <v>96</v>
      </c>
      <c r="B50" s="30" t="s">
        <v>161</v>
      </c>
      <c r="C50" s="29">
        <v>14250</v>
      </c>
      <c r="D50" s="29"/>
      <c r="E50" s="29"/>
      <c r="F50" s="45"/>
      <c r="G50" s="45"/>
      <c r="H50" s="29"/>
      <c r="I50" s="29"/>
      <c r="J50" s="45"/>
      <c r="K50" s="45"/>
      <c r="L50" s="29">
        <f t="shared" si="6"/>
        <v>14250</v>
      </c>
      <c r="M50" s="29">
        <f>18.9+13.5+13.5+152.35+18.9+138.2+3349+697</f>
        <v>4401.3500000000004</v>
      </c>
      <c r="N50" s="29">
        <f t="shared" si="3"/>
        <v>9848.65</v>
      </c>
      <c r="O50" s="39">
        <f t="shared" si="7"/>
        <v>1.6957707746194676E-3</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f>90330.35+113542.08</f>
        <v>203872.43</v>
      </c>
      <c r="N51" s="29">
        <f t="shared" si="3"/>
        <v>413969.11999999994</v>
      </c>
      <c r="O51" s="39">
        <f t="shared" si="7"/>
        <v>7.854883354985473E-2</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f>2894.44+80982.64+132982.32+7555.83</f>
        <v>224415.23</v>
      </c>
      <c r="N52" s="29">
        <f t="shared" si="3"/>
        <v>339327.47</v>
      </c>
      <c r="O52" s="39">
        <f t="shared" si="7"/>
        <v>8.6463650564828048E-2</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29413.01+7189.7+7639.88+133891.61+29801.07+80892.52</f>
        <v>288827.78999999998</v>
      </c>
      <c r="N53" s="29">
        <f t="shared" si="3"/>
        <v>212157.58000000002</v>
      </c>
      <c r="O53" s="39">
        <f t="shared" si="7"/>
        <v>0.11128079456983171</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v>9300</v>
      </c>
      <c r="N54" s="29">
        <f t="shared" si="3"/>
        <v>40700</v>
      </c>
      <c r="O54" s="39">
        <f t="shared" si="7"/>
        <v>3.5831434000843029E-3</v>
      </c>
    </row>
    <row r="55" spans="1:15" ht="15.95" customHeight="1" x14ac:dyDescent="0.2">
      <c r="A55" s="42" t="s">
        <v>101</v>
      </c>
      <c r="B55" s="30" t="s">
        <v>55</v>
      </c>
      <c r="C55" s="29">
        <v>75000</v>
      </c>
      <c r="D55" s="29"/>
      <c r="E55" s="29"/>
      <c r="F55" s="45"/>
      <c r="G55" s="45"/>
      <c r="H55" s="29"/>
      <c r="I55" s="29"/>
      <c r="J55" s="45"/>
      <c r="K55" s="45"/>
      <c r="L55" s="29">
        <f>C55+D55-E55+F55-G55+H55+J55-I55-K55</f>
        <v>75000</v>
      </c>
      <c r="M55" s="29">
        <v>5700</v>
      </c>
      <c r="N55" s="29">
        <f t="shared" si="3"/>
        <v>69300</v>
      </c>
      <c r="O55" s="39">
        <f t="shared" si="7"/>
        <v>2.1961201484387662E-3</v>
      </c>
    </row>
    <row r="56" spans="1:15" ht="15.95" customHeight="1" x14ac:dyDescent="0.2">
      <c r="A56" s="42">
        <v>151</v>
      </c>
      <c r="B56" s="30" t="s">
        <v>249</v>
      </c>
      <c r="C56" s="29">
        <v>90000</v>
      </c>
      <c r="D56" s="29"/>
      <c r="E56" s="29"/>
      <c r="F56" s="45"/>
      <c r="G56" s="45"/>
      <c r="H56" s="29"/>
      <c r="I56" s="29"/>
      <c r="J56" s="45"/>
      <c r="K56" s="45"/>
      <c r="L56" s="29">
        <f t="shared" si="6"/>
        <v>90000</v>
      </c>
      <c r="M56" s="29">
        <f>11250+11250+11250+11250</f>
        <v>45000</v>
      </c>
      <c r="N56" s="29">
        <f t="shared" si="3"/>
        <v>45000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1.6181937935864593E-3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3600+750+5500</f>
        <v>9850</v>
      </c>
      <c r="N59" s="29">
        <f t="shared" si="3"/>
        <v>-2100</v>
      </c>
      <c r="O59" s="39">
        <f t="shared" si="8"/>
        <v>3.7950497301968153E-3</v>
      </c>
    </row>
    <row r="60" spans="1:15" ht="15.95" customHeight="1" x14ac:dyDescent="0.2">
      <c r="A60" s="42" t="s">
        <v>105</v>
      </c>
      <c r="B60" s="30" t="s">
        <v>166</v>
      </c>
      <c r="C60" s="29">
        <v>7000</v>
      </c>
      <c r="D60" s="29"/>
      <c r="E60" s="29"/>
      <c r="F60" s="45"/>
      <c r="G60" s="45"/>
      <c r="H60" s="29"/>
      <c r="I60" s="29"/>
      <c r="J60" s="45"/>
      <c r="K60" s="45"/>
      <c r="L60" s="29">
        <f t="shared" si="6"/>
        <v>7000</v>
      </c>
      <c r="M60" s="29">
        <f>10354.57+530.59</f>
        <v>10885.16</v>
      </c>
      <c r="N60" s="29">
        <f t="shared" si="3"/>
        <v>-3885.16</v>
      </c>
      <c r="O60" s="39">
        <f t="shared" si="8"/>
        <v>4.1938805605227581E-3</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6.3957183270321966E-4</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4500+4500+4500+4500+4500+4500+4500+4500</f>
        <v>36000</v>
      </c>
      <c r="N68" s="29">
        <f t="shared" si="3"/>
        <v>18000</v>
      </c>
      <c r="O68" s="39">
        <f t="shared" si="9"/>
        <v>1.3870232516455366E-2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4500+4500+4500+4500+4500+4500+4500+4500</f>
        <v>36000</v>
      </c>
      <c r="N69" s="29">
        <f t="shared" si="3"/>
        <v>18000</v>
      </c>
      <c r="O69" s="39">
        <f t="shared" si="9"/>
        <v>1.3870232516455366E-2</v>
      </c>
    </row>
    <row r="70" spans="1:15" ht="15.95" customHeight="1" x14ac:dyDescent="0.2">
      <c r="A70" s="42" t="s">
        <v>112</v>
      </c>
      <c r="B70" s="30" t="s">
        <v>57</v>
      </c>
      <c r="C70" s="29">
        <v>7500</v>
      </c>
      <c r="D70" s="29"/>
      <c r="E70" s="29"/>
      <c r="F70" s="45"/>
      <c r="G70" s="45"/>
      <c r="H70" s="29"/>
      <c r="I70" s="29"/>
      <c r="J70" s="45"/>
      <c r="K70" s="45"/>
      <c r="L70" s="29">
        <f t="shared" si="6"/>
        <v>7500</v>
      </c>
      <c r="M70" s="29">
        <f>117.6+235.2+117.6</f>
        <v>470.4</v>
      </c>
      <c r="N70" s="29">
        <f t="shared" si="3"/>
        <v>7029.6</v>
      </c>
      <c r="O70" s="39">
        <f t="shared" si="9"/>
        <v>1.8123770488168343E-4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1500+70267.86+117000.9+24486.58+24517.72+70585.29+23608.68</f>
        <v>331967.03000000003</v>
      </c>
      <c r="N72" s="29">
        <f t="shared" si="3"/>
        <v>531332.97</v>
      </c>
      <c r="O72" s="39">
        <f t="shared" si="9"/>
        <v>0.12790166371936429</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50.36+50.33+106.36+56.35+56.36+213.37+212.85+56.36</f>
        <v>802.34000000000015</v>
      </c>
      <c r="N76" s="29">
        <f t="shared" si="3"/>
        <v>1697.6599999999999</v>
      </c>
      <c r="O76" s="39">
        <f t="shared" si="9"/>
        <v>3.0912895436813333E-4</v>
      </c>
    </row>
    <row r="77" spans="1:15" ht="15.95" customHeight="1" x14ac:dyDescent="0.2">
      <c r="A77" s="42" t="s">
        <v>119</v>
      </c>
      <c r="B77" s="30" t="s">
        <v>59</v>
      </c>
      <c r="C77" s="29">
        <v>125000</v>
      </c>
      <c r="D77" s="29"/>
      <c r="E77" s="29"/>
      <c r="F77" s="45"/>
      <c r="G77" s="45"/>
      <c r="H77" s="29"/>
      <c r="I77" s="29"/>
      <c r="J77" s="45"/>
      <c r="K77" s="45"/>
      <c r="L77" s="29">
        <f t="shared" si="6"/>
        <v>125000</v>
      </c>
      <c r="M77" s="29">
        <f>35.1+230.2+54994.3</f>
        <v>55259.600000000006</v>
      </c>
      <c r="N77" s="29">
        <f t="shared" si="3"/>
        <v>69740.399999999994</v>
      </c>
      <c r="O77" s="39">
        <f t="shared" si="9"/>
        <v>2.1290652799064363E-2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55+100.4+3468.75+29477.11+820</f>
        <v>33921.26</v>
      </c>
      <c r="N80" s="29">
        <f t="shared" si="3"/>
        <v>17078.739999999998</v>
      </c>
      <c r="O80" s="39">
        <f t="shared" si="9"/>
        <v>1.3069326762531577E-2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1296.25+4358.7+1692.8+1826.15+2712.7+2435.7+13281.7+1545.3</f>
        <v>29149.3</v>
      </c>
      <c r="N84" s="29">
        <f t="shared" si="3"/>
        <v>117634.8</v>
      </c>
      <c r="O84" s="39">
        <f t="shared" ref="O84:O120" si="12">M84/$M$139</f>
        <v>1.1230765796997567E-2</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f>752+10750</f>
        <v>11502</v>
      </c>
      <c r="N89" s="29">
        <f t="shared" si="3"/>
        <v>22298</v>
      </c>
      <c r="O89" s="39">
        <f t="shared" si="12"/>
        <v>4.4315392890074898E-3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485+485+485+485+359.7+583</f>
        <v>2882.7</v>
      </c>
      <c r="N90" s="29">
        <f t="shared" si="3"/>
        <v>2367.3000000000002</v>
      </c>
      <c r="O90" s="39">
        <f t="shared" si="12"/>
        <v>1.1106588687551633E-3</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906.45+36+1516.82+23.75+960.55+835.85+43.75+1103.94</f>
        <v>5427.1100000000006</v>
      </c>
      <c r="N91" s="29">
        <f t="shared" si="3"/>
        <v>5072.8899999999994</v>
      </c>
      <c r="O91" s="39">
        <f t="shared" si="12"/>
        <v>2.0909799331216691E-3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f>
        <v>1149.8</v>
      </c>
      <c r="N92" s="29">
        <f t="shared" si="3"/>
        <v>1900.2</v>
      </c>
      <c r="O92" s="39">
        <f t="shared" si="12"/>
        <v>4.4299981520612165E-4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f>23.5+23.5</f>
        <v>47</v>
      </c>
      <c r="N96" s="29">
        <f t="shared" si="3"/>
        <v>2753</v>
      </c>
      <c r="O96" s="39">
        <f t="shared" si="12"/>
        <v>1.8108359118705619E-5</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270+340.02+1364.45+745+1028.98+290.05+1492.34+1126.25</f>
        <v>6657.09</v>
      </c>
      <c r="N97" s="29">
        <f t="shared" si="3"/>
        <v>1842.9099999999999</v>
      </c>
      <c r="O97" s="39">
        <f t="shared" si="12"/>
        <v>2.5648718384158292E-3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862.5+340+218.4+362+940.4+218.4</f>
        <v>2941.7000000000003</v>
      </c>
      <c r="N99" s="29">
        <f t="shared" si="3"/>
        <v>14558.3</v>
      </c>
      <c r="O99" s="39">
        <f t="shared" si="12"/>
        <v>1.1333906387126877E-3</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67.75+182.63+3.55+237.64+423.48+1967.44+332.62</f>
        <v>3215.1099999999997</v>
      </c>
      <c r="N100" s="29">
        <f t="shared" si="3"/>
        <v>-215.10999999999967</v>
      </c>
      <c r="O100" s="39">
        <f t="shared" si="12"/>
        <v>1.2387312018328001E-3</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2.4889361682306016E-4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v>203220.76</v>
      </c>
      <c r="N102" s="29">
        <f t="shared" si="15"/>
        <v>396779.24</v>
      </c>
      <c r="O102" s="39">
        <f t="shared" si="12"/>
        <v>7.8297755371410344E-2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16.52+71.1+1324.95+68</f>
        <v>1480.57</v>
      </c>
      <c r="N109" s="29">
        <f t="shared" si="15"/>
        <v>3319.4300000000003</v>
      </c>
      <c r="O109" s="39">
        <f t="shared" si="12"/>
        <v>5.704402821357867E-4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f>73800+13360</f>
        <v>87160</v>
      </c>
      <c r="N111" s="29">
        <f t="shared" si="15"/>
        <v>1212840</v>
      </c>
      <c r="O111" s="39">
        <f t="shared" si="12"/>
        <v>3.3581374059284713E-2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75+59+201.5+465.64</f>
        <v>801.14</v>
      </c>
      <c r="N112" s="29">
        <f t="shared" si="15"/>
        <v>698.86</v>
      </c>
      <c r="O112" s="39">
        <f t="shared" si="12"/>
        <v>3.0866661328425143E-4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72.75+278.7+70.45+304+137.25+125.2+826.3</f>
        <v>1814.65</v>
      </c>
      <c r="N114" s="29">
        <f t="shared" si="15"/>
        <v>4785.3500000000004</v>
      </c>
      <c r="O114" s="39">
        <f t="shared" si="12"/>
        <v>6.9915603988849251E-4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54.99+178.05+82.2+61.98+62.8+573.25+320.78</f>
        <v>1334.05</v>
      </c>
      <c r="N115" s="29">
        <f t="shared" si="15"/>
        <v>2665.95</v>
      </c>
      <c r="O115" s="39">
        <f t="shared" si="12"/>
        <v>5.1398843579381331E-4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1.329230616160306E-4</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f>
        <v>1531.6799999999998</v>
      </c>
      <c r="N117" s="29">
        <f t="shared" si="15"/>
        <v>468.32000000000016</v>
      </c>
      <c r="O117" s="39">
        <f t="shared" si="12"/>
        <v>5.9013215946678759E-4</v>
      </c>
    </row>
    <row r="118" spans="1:15" ht="15.95" customHeight="1" x14ac:dyDescent="0.2">
      <c r="A118" s="42" t="s">
        <v>145</v>
      </c>
      <c r="B118" s="30" t="s">
        <v>211</v>
      </c>
      <c r="C118" s="29">
        <v>9500</v>
      </c>
      <c r="D118" s="29"/>
      <c r="E118" s="29"/>
      <c r="F118" s="45"/>
      <c r="G118" s="45"/>
      <c r="H118" s="29"/>
      <c r="I118" s="29"/>
      <c r="J118" s="45"/>
      <c r="K118" s="45"/>
      <c r="L118" s="29">
        <f t="shared" si="11"/>
        <v>9500</v>
      </c>
      <c r="M118" s="29">
        <f>45.7+130</f>
        <v>175.7</v>
      </c>
      <c r="N118" s="29">
        <f t="shared" si="15"/>
        <v>9324.2999999999993</v>
      </c>
      <c r="O118" s="39">
        <f t="shared" si="12"/>
        <v>6.7694440365033548E-5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v>145</v>
      </c>
      <c r="N119" s="29">
        <f t="shared" si="15"/>
        <v>99855</v>
      </c>
      <c r="O119" s="39">
        <f t="shared" si="12"/>
        <v>5.5866214302389667E-5</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f>
        <v>1149.18</v>
      </c>
      <c r="N120" s="29">
        <f t="shared" si="15"/>
        <v>8350.82</v>
      </c>
      <c r="O120" s="39">
        <f t="shared" si="12"/>
        <v>4.4276093897944942E-4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1.155621539162673E-3</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1.5566985765878083E-2</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9.1474183446023146E-3</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v>1036.46</v>
      </c>
      <c r="N135" s="29">
        <f t="shared" si="15"/>
        <v>184863.54</v>
      </c>
      <c r="O135" s="39">
        <f>M135/$M$139</f>
        <v>3.9933169983348137E-4</v>
      </c>
    </row>
    <row r="136" spans="1:15" ht="15.95" customHeight="1" x14ac:dyDescent="0.2">
      <c r="A136" s="42" t="s">
        <v>224</v>
      </c>
      <c r="B136" s="30" t="s">
        <v>225</v>
      </c>
      <c r="C136" s="29">
        <v>7170</v>
      </c>
      <c r="D136" s="29"/>
      <c r="E136" s="29"/>
      <c r="F136" s="29"/>
      <c r="G136" s="29"/>
      <c r="H136" s="29"/>
      <c r="I136" s="29"/>
      <c r="J136" s="45"/>
      <c r="K136" s="45"/>
      <c r="L136" s="29">
        <f t="shared" si="18"/>
        <v>7170</v>
      </c>
      <c r="M136" s="29">
        <v>706.2</v>
      </c>
      <c r="N136" s="29">
        <f t="shared" si="15"/>
        <v>6463.8</v>
      </c>
      <c r="O136" s="39">
        <f>M136/$M$139</f>
        <v>2.7208772786446614E-4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1000+1500+1500+1500+1500+1500</f>
        <v>8500</v>
      </c>
      <c r="N137" s="29">
        <f t="shared" si="15"/>
        <v>61500</v>
      </c>
      <c r="O137" s="39">
        <f>M137/$M$139</f>
        <v>3.2749160108297391E-3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v>2461.75</v>
      </c>
      <c r="N138" s="29">
        <f t="shared" si="15"/>
        <v>6288.25</v>
      </c>
      <c r="O138" s="39">
        <f>M138/$M$139</f>
        <v>9.4847346937177769E-4</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2595486.4099999997</v>
      </c>
      <c r="N139" s="35">
        <f t="shared" si="20"/>
        <v>5663037.21</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c r="D151" s="48"/>
      <c r="E151" s="4"/>
      <c r="F151" s="4"/>
      <c r="G151" s="4"/>
      <c r="H151" s="4"/>
      <c r="I151" s="4"/>
      <c r="J151" s="67"/>
      <c r="K151" s="67"/>
      <c r="L151" s="4"/>
    </row>
    <row r="152" spans="1:13" x14ac:dyDescent="0.2">
      <c r="A152" s="55" t="s">
        <v>85</v>
      </c>
      <c r="B152" s="53"/>
      <c r="C152" s="70">
        <f>M26</f>
        <v>3576579.03</v>
      </c>
      <c r="D152" s="48"/>
      <c r="E152" s="4"/>
      <c r="F152" s="4"/>
      <c r="G152" s="4"/>
      <c r="H152" s="4"/>
      <c r="I152" s="4"/>
      <c r="J152" s="67"/>
      <c r="K152" s="67"/>
      <c r="L152" s="4"/>
    </row>
    <row r="153" spans="1:13" x14ac:dyDescent="0.2">
      <c r="A153" s="55" t="s">
        <v>86</v>
      </c>
      <c r="B153" s="53"/>
      <c r="C153" s="71">
        <f>-M139</f>
        <v>-2595486.4099999997</v>
      </c>
      <c r="D153" s="4"/>
      <c r="E153" s="4"/>
      <c r="F153" s="4"/>
      <c r="G153" s="4"/>
      <c r="H153" s="4"/>
      <c r="I153" s="4"/>
      <c r="J153" s="67"/>
      <c r="K153" s="67"/>
      <c r="L153" s="4"/>
    </row>
    <row r="154" spans="1:13" ht="15.75" x14ac:dyDescent="0.25">
      <c r="A154" s="56" t="s">
        <v>87</v>
      </c>
      <c r="B154" s="57"/>
      <c r="C154" s="72">
        <f>SUM(C147:C153)</f>
        <v>3493542.8200000008</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v>2810.23</v>
      </c>
      <c r="D159" s="4"/>
      <c r="E159" s="4"/>
      <c r="F159" s="4"/>
      <c r="G159" s="4"/>
      <c r="H159" s="4"/>
      <c r="I159" s="4"/>
      <c r="J159" s="67"/>
      <c r="K159" s="67"/>
      <c r="L159" s="4"/>
    </row>
    <row r="160" spans="1:13" x14ac:dyDescent="0.2">
      <c r="A160" s="55" t="s">
        <v>151</v>
      </c>
      <c r="B160" s="53"/>
      <c r="C160" s="70">
        <f>6730.44+3046.69+630.78+34.44</f>
        <v>10442.35</v>
      </c>
      <c r="D160" s="80"/>
      <c r="E160" s="4"/>
      <c r="F160" s="4"/>
      <c r="G160" s="4"/>
      <c r="H160" s="4"/>
      <c r="I160" s="4"/>
      <c r="J160" s="67"/>
      <c r="K160" s="67"/>
      <c r="L160" s="4"/>
    </row>
    <row r="161" spans="1:13" x14ac:dyDescent="0.2">
      <c r="A161" s="55" t="s">
        <v>150</v>
      </c>
      <c r="B161" s="53"/>
      <c r="C161" s="70">
        <f>1837.54</f>
        <v>1837.54</v>
      </c>
      <c r="D161" s="81"/>
      <c r="E161" s="4"/>
      <c r="F161" s="4"/>
      <c r="G161" s="4"/>
      <c r="H161" s="4"/>
      <c r="I161" s="4"/>
      <c r="J161" s="67"/>
      <c r="K161" s="67"/>
      <c r="L161" s="4"/>
    </row>
    <row r="162" spans="1:13" x14ac:dyDescent="0.2">
      <c r="A162" s="55" t="s">
        <v>149</v>
      </c>
      <c r="B162" s="53"/>
      <c r="C162" s="70">
        <f>1090.41+1170.92</f>
        <v>2261.33</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261</v>
      </c>
      <c r="B164" s="53"/>
      <c r="C164" s="70"/>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17623.449999999997</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3511166.2700000009</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270</v>
      </c>
      <c r="B172" s="59"/>
      <c r="C172" s="69">
        <f>C154+C167</f>
        <v>3511166.2700000009</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v>3511166.27</v>
      </c>
      <c r="D175" s="4"/>
    </row>
    <row r="176" spans="1:13" x14ac:dyDescent="0.2">
      <c r="C176" s="14">
        <f>+C172-C175</f>
        <v>0</v>
      </c>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85" t="s">
        <v>240</v>
      </c>
      <c r="C184" s="86" t="s">
        <v>230</v>
      </c>
      <c r="G184" s="85" t="s">
        <v>271</v>
      </c>
      <c r="J184" s="86" t="s">
        <v>272</v>
      </c>
      <c r="K184" s="75"/>
    </row>
    <row r="185" spans="2:12" x14ac:dyDescent="0.2">
      <c r="B185" s="85" t="s">
        <v>89</v>
      </c>
      <c r="C185" s="86" t="s">
        <v>90</v>
      </c>
      <c r="G185" s="85" t="s">
        <v>252</v>
      </c>
      <c r="J185" s="85"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3E4E-BE78-45E1-AE13-8B5D7DC26844}">
  <dimension ref="A1:O208"/>
  <sheetViews>
    <sheetView topLeftCell="A128" zoomScaleNormal="100" workbookViewId="0">
      <selection activeCell="C160" sqref="C160"/>
    </sheetView>
  </sheetViews>
  <sheetFormatPr baseColWidth="10" defaultColWidth="11.42578125" defaultRowHeight="15" x14ac:dyDescent="0.2"/>
  <cols>
    <col min="1" max="1" width="11.7109375" style="11" customWidth="1"/>
    <col min="2" max="2" width="50.7109375" style="11" customWidth="1"/>
    <col min="3" max="3" width="16.42578125" style="11" customWidth="1"/>
    <col min="4" max="4" width="13" style="11" customWidth="1"/>
    <col min="5" max="5" width="15.28515625" style="11" customWidth="1"/>
    <col min="6" max="8" width="16.42578125" style="11" customWidth="1"/>
    <col min="9" max="9" width="17.28515625" style="11" customWidth="1"/>
    <col min="10" max="11" width="13.42578125" style="53" customWidth="1"/>
    <col min="12" max="14" width="16.42578125" style="11" customWidth="1"/>
    <col min="15" max="15" width="10.7109375" style="11" customWidth="1"/>
    <col min="16" max="16384" width="11.42578125" style="11"/>
  </cols>
  <sheetData>
    <row r="1" spans="1:15" ht="15.75" x14ac:dyDescent="0.25">
      <c r="A1" s="6" t="s">
        <v>0</v>
      </c>
      <c r="B1" s="6"/>
      <c r="C1" s="6"/>
      <c r="D1" s="6"/>
      <c r="E1" s="6"/>
      <c r="F1" s="6"/>
      <c r="G1" s="6"/>
      <c r="H1" s="6"/>
      <c r="I1" s="6"/>
      <c r="J1" s="61"/>
      <c r="K1" s="61"/>
      <c r="L1" s="6"/>
      <c r="M1" s="6"/>
      <c r="N1" s="6"/>
      <c r="O1" s="16"/>
    </row>
    <row r="2" spans="1:15" ht="15.75" x14ac:dyDescent="0.25">
      <c r="A2" s="6" t="s">
        <v>1</v>
      </c>
      <c r="B2" s="6"/>
      <c r="C2" s="6"/>
      <c r="D2" s="6"/>
      <c r="E2" s="6"/>
      <c r="F2" s="6"/>
      <c r="G2" s="6"/>
      <c r="H2" s="6"/>
      <c r="I2" s="6"/>
      <c r="J2" s="61"/>
      <c r="K2" s="61"/>
      <c r="L2" s="6"/>
      <c r="M2" s="6"/>
      <c r="N2" s="6"/>
      <c r="O2" s="16"/>
    </row>
    <row r="3" spans="1:15" ht="15.75" x14ac:dyDescent="0.25">
      <c r="A3" s="6" t="s">
        <v>258</v>
      </c>
      <c r="B3" s="6"/>
      <c r="C3" s="6"/>
      <c r="D3" s="6"/>
      <c r="E3" s="6"/>
      <c r="F3" s="6"/>
      <c r="G3" s="6"/>
      <c r="H3" s="6"/>
      <c r="I3" s="6"/>
      <c r="J3" s="61"/>
      <c r="K3" s="61"/>
      <c r="L3" s="6"/>
      <c r="M3" s="6"/>
      <c r="N3" s="6"/>
      <c r="O3" s="16"/>
    </row>
    <row r="4" spans="1:15" ht="15.75" x14ac:dyDescent="0.25">
      <c r="A4" s="6" t="s">
        <v>2</v>
      </c>
      <c r="B4" s="6"/>
      <c r="C4" s="6"/>
      <c r="D4" s="6"/>
      <c r="E4" s="6"/>
      <c r="F4" s="6"/>
      <c r="G4" s="6"/>
      <c r="H4" s="6"/>
      <c r="I4" s="6"/>
      <c r="J4" s="61"/>
      <c r="K4" s="61"/>
      <c r="L4" s="6"/>
      <c r="M4" s="6"/>
      <c r="N4" s="6"/>
      <c r="O4" s="16"/>
    </row>
    <row r="5" spans="1:15" ht="16.5" thickBot="1" x14ac:dyDescent="0.3">
      <c r="A5" s="16"/>
      <c r="B5" s="16"/>
      <c r="C5" s="16"/>
      <c r="D5" s="16"/>
      <c r="E5" s="16"/>
      <c r="F5" s="16"/>
      <c r="G5" s="16"/>
      <c r="H5" s="16"/>
      <c r="I5" s="16"/>
      <c r="J5" s="57"/>
      <c r="K5" s="57"/>
      <c r="L5" s="16"/>
      <c r="M5" s="16"/>
      <c r="N5" s="16"/>
      <c r="O5" s="16"/>
    </row>
    <row r="6" spans="1:15" ht="16.5" thickBot="1" x14ac:dyDescent="0.3">
      <c r="A6" s="17" t="s">
        <v>3</v>
      </c>
      <c r="B6" s="88" t="s">
        <v>4</v>
      </c>
      <c r="C6" s="17" t="s">
        <v>5</v>
      </c>
      <c r="D6" s="18" t="s">
        <v>250</v>
      </c>
      <c r="E6" s="19"/>
      <c r="F6" s="18" t="s">
        <v>6</v>
      </c>
      <c r="G6" s="19"/>
      <c r="H6" s="90" t="s">
        <v>7</v>
      </c>
      <c r="I6" s="91"/>
      <c r="J6" s="92" t="s">
        <v>241</v>
      </c>
      <c r="K6" s="93"/>
      <c r="L6" s="17" t="s">
        <v>5</v>
      </c>
      <c r="M6" s="88" t="s">
        <v>244</v>
      </c>
      <c r="N6" s="17" t="s">
        <v>8</v>
      </c>
      <c r="O6" s="17" t="s">
        <v>9</v>
      </c>
    </row>
    <row r="7" spans="1:15" ht="16.5" thickBot="1" x14ac:dyDescent="0.3">
      <c r="A7" s="20" t="s">
        <v>10</v>
      </c>
      <c r="B7" s="89"/>
      <c r="C7" s="20" t="s">
        <v>11</v>
      </c>
      <c r="D7" s="21" t="s">
        <v>12</v>
      </c>
      <c r="E7" s="21" t="s">
        <v>13</v>
      </c>
      <c r="F7" s="21" t="s">
        <v>12</v>
      </c>
      <c r="G7" s="21" t="s">
        <v>13</v>
      </c>
      <c r="H7" s="21" t="s">
        <v>12</v>
      </c>
      <c r="I7" s="22" t="s">
        <v>13</v>
      </c>
      <c r="J7" s="62" t="s">
        <v>12</v>
      </c>
      <c r="K7" s="74" t="s">
        <v>13</v>
      </c>
      <c r="L7" s="20" t="s">
        <v>14</v>
      </c>
      <c r="M7" s="89"/>
      <c r="N7" s="20" t="s">
        <v>15</v>
      </c>
      <c r="O7" s="20" t="s">
        <v>16</v>
      </c>
    </row>
    <row r="8" spans="1:15" ht="15.95" customHeight="1" x14ac:dyDescent="0.25">
      <c r="A8" s="23"/>
      <c r="B8" s="23"/>
      <c r="C8" s="24"/>
      <c r="D8" s="37"/>
      <c r="E8" s="37"/>
      <c r="F8" s="37"/>
      <c r="G8" s="37"/>
      <c r="H8" s="37"/>
      <c r="I8" s="37"/>
      <c r="J8" s="63"/>
      <c r="K8" s="63"/>
      <c r="L8" s="24"/>
      <c r="M8" s="24"/>
      <c r="N8" s="24"/>
      <c r="O8" s="25"/>
    </row>
    <row r="9" spans="1:15" ht="15.95" customHeight="1" x14ac:dyDescent="0.25">
      <c r="A9" s="26"/>
      <c r="B9" s="26" t="s">
        <v>181</v>
      </c>
      <c r="C9" s="29"/>
      <c r="D9" s="29"/>
      <c r="E9" s="29"/>
      <c r="F9" s="29"/>
      <c r="G9" s="29"/>
      <c r="H9" s="29"/>
      <c r="I9" s="29"/>
      <c r="J9" s="45"/>
      <c r="K9" s="45"/>
      <c r="L9" s="29"/>
      <c r="M9" s="29"/>
      <c r="N9" s="29"/>
      <c r="O9" s="28"/>
    </row>
    <row r="10" spans="1:15" ht="15.95" customHeight="1" x14ac:dyDescent="0.25">
      <c r="A10" s="30" t="s">
        <v>17</v>
      </c>
      <c r="B10" s="30" t="s">
        <v>182</v>
      </c>
      <c r="C10" s="29">
        <v>37000</v>
      </c>
      <c r="D10" s="29"/>
      <c r="E10" s="29"/>
      <c r="F10" s="29"/>
      <c r="G10" s="29"/>
      <c r="H10" s="29"/>
      <c r="I10" s="29"/>
      <c r="J10" s="45"/>
      <c r="K10" s="45"/>
      <c r="L10" s="29">
        <f t="shared" ref="L10:L22" si="0">C10+D10-E10+F10-G10+J10-K10</f>
        <v>37000</v>
      </c>
      <c r="M10" s="29">
        <f>12800+3800+2400-400+200+1200+400+1600+200+1200</f>
        <v>23400</v>
      </c>
      <c r="N10" s="29">
        <f t="shared" ref="N10:N22" si="1">L10-M10</f>
        <v>13600</v>
      </c>
      <c r="O10" s="28">
        <f>M10/$M$26</f>
        <v>5.8644135556370448E-3</v>
      </c>
    </row>
    <row r="11" spans="1:15" ht="15.95" hidden="1" customHeight="1" x14ac:dyDescent="0.25">
      <c r="A11" s="30" t="s">
        <v>27</v>
      </c>
      <c r="B11" s="30" t="s">
        <v>28</v>
      </c>
      <c r="C11" s="29">
        <v>0</v>
      </c>
      <c r="D11" s="29"/>
      <c r="E11" s="29"/>
      <c r="F11" s="29"/>
      <c r="G11" s="29"/>
      <c r="H11" s="29"/>
      <c r="I11" s="29"/>
      <c r="J11" s="45"/>
      <c r="K11" s="45"/>
      <c r="L11" s="29">
        <f t="shared" si="0"/>
        <v>0</v>
      </c>
      <c r="M11" s="29"/>
      <c r="N11" s="29">
        <v>0</v>
      </c>
      <c r="O11" s="28"/>
    </row>
    <row r="12" spans="1:15" ht="15.95" customHeight="1" x14ac:dyDescent="0.25">
      <c r="A12" s="30" t="s">
        <v>18</v>
      </c>
      <c r="B12" s="30" t="s">
        <v>183</v>
      </c>
      <c r="C12" s="29">
        <v>30500</v>
      </c>
      <c r="D12" s="29"/>
      <c r="E12" s="29"/>
      <c r="F12" s="29"/>
      <c r="G12" s="29"/>
      <c r="H12" s="29"/>
      <c r="I12" s="29"/>
      <c r="J12" s="45"/>
      <c r="K12" s="45"/>
      <c r="L12" s="29">
        <f>C12+D12-E12+F12-G12+H12+J12-K12</f>
        <v>30500</v>
      </c>
      <c r="M12" s="29">
        <f>28839+1312.5+117.7</f>
        <v>30269.200000000001</v>
      </c>
      <c r="N12" s="29">
        <f t="shared" si="1"/>
        <v>230.79999999999927</v>
      </c>
      <c r="O12" s="28">
        <f>M12/$M$26</f>
        <v>7.5859447349696085E-3</v>
      </c>
    </row>
    <row r="13" spans="1:15" ht="15.95" customHeight="1" x14ac:dyDescent="0.25">
      <c r="A13" s="30" t="s">
        <v>19</v>
      </c>
      <c r="B13" s="30" t="s">
        <v>184</v>
      </c>
      <c r="C13" s="29">
        <v>3500</v>
      </c>
      <c r="D13" s="29"/>
      <c r="E13" s="29"/>
      <c r="F13" s="29"/>
      <c r="G13" s="29"/>
      <c r="H13" s="29"/>
      <c r="I13" s="29"/>
      <c r="J13" s="45"/>
      <c r="K13" s="45"/>
      <c r="L13" s="29">
        <f t="shared" si="0"/>
        <v>3500</v>
      </c>
      <c r="M13" s="29"/>
      <c r="N13" s="29">
        <f t="shared" si="1"/>
        <v>3500</v>
      </c>
      <c r="O13" s="28">
        <f>M13/$M$26</f>
        <v>0</v>
      </c>
    </row>
    <row r="14" spans="1:15" ht="15.95" customHeight="1" x14ac:dyDescent="0.25">
      <c r="A14" s="30"/>
      <c r="B14" s="26" t="s">
        <v>185</v>
      </c>
      <c r="C14" s="29"/>
      <c r="D14" s="29"/>
      <c r="E14" s="29"/>
      <c r="F14" s="29"/>
      <c r="G14" s="29"/>
      <c r="H14" s="29"/>
      <c r="I14" s="29"/>
      <c r="J14" s="45"/>
      <c r="K14" s="45"/>
      <c r="L14" s="29"/>
      <c r="M14" s="29"/>
      <c r="N14" s="29"/>
      <c r="O14" s="28"/>
    </row>
    <row r="15" spans="1:15" ht="15.95" customHeight="1" x14ac:dyDescent="0.25">
      <c r="A15" s="30" t="s">
        <v>186</v>
      </c>
      <c r="B15" s="30" t="s">
        <v>235</v>
      </c>
      <c r="C15" s="29">
        <v>8800</v>
      </c>
      <c r="D15" s="29"/>
      <c r="E15" s="29"/>
      <c r="F15" s="29"/>
      <c r="G15" s="29"/>
      <c r="H15" s="29"/>
      <c r="I15" s="29"/>
      <c r="J15" s="45"/>
      <c r="K15" s="45"/>
      <c r="L15" s="29">
        <f>C15+D15-E15+F15-G15+H15+J15-K15</f>
        <v>8800</v>
      </c>
      <c r="M15" s="29">
        <f>1350.3+2998.52+1574.78+1480.71+2979.46+1449.6+1385.24</f>
        <v>13218.61</v>
      </c>
      <c r="N15" s="29">
        <f t="shared" si="1"/>
        <v>-4418.6100000000006</v>
      </c>
      <c r="O15" s="28">
        <f>M15/$M$26</f>
        <v>3.312794686781171E-3</v>
      </c>
    </row>
    <row r="16" spans="1:15" ht="15.95" customHeight="1" x14ac:dyDescent="0.25">
      <c r="A16" s="26" t="s">
        <v>232</v>
      </c>
      <c r="B16" s="26" t="s">
        <v>233</v>
      </c>
      <c r="C16" s="29"/>
      <c r="D16" s="29"/>
      <c r="E16" s="29"/>
      <c r="F16" s="29"/>
      <c r="G16" s="29"/>
      <c r="H16" s="29"/>
      <c r="I16" s="29"/>
      <c r="J16" s="45"/>
      <c r="K16" s="45"/>
      <c r="L16" s="29"/>
      <c r="M16" s="29"/>
      <c r="N16" s="29"/>
      <c r="O16" s="28"/>
    </row>
    <row r="17" spans="1:15" ht="15.95" customHeight="1" x14ac:dyDescent="0.25">
      <c r="A17" s="26" t="s">
        <v>234</v>
      </c>
      <c r="B17" s="26" t="s">
        <v>231</v>
      </c>
      <c r="C17" s="79"/>
      <c r="D17" s="29"/>
      <c r="E17" s="29"/>
      <c r="F17" s="29"/>
      <c r="G17" s="29"/>
      <c r="H17" s="29"/>
      <c r="I17" s="29"/>
      <c r="J17" s="45"/>
      <c r="K17" s="45"/>
      <c r="L17" s="29"/>
      <c r="M17" s="29"/>
      <c r="N17" s="29"/>
      <c r="O17" s="28"/>
    </row>
    <row r="18" spans="1:15" ht="15.95" customHeight="1" x14ac:dyDescent="0.25">
      <c r="A18" s="30" t="s">
        <v>20</v>
      </c>
      <c r="B18" s="30" t="s">
        <v>21</v>
      </c>
      <c r="C18" s="29">
        <v>3669949.52</v>
      </c>
      <c r="D18" s="29"/>
      <c r="E18" s="29"/>
      <c r="F18" s="29"/>
      <c r="G18" s="29"/>
      <c r="H18" s="29"/>
      <c r="I18" s="29"/>
      <c r="J18" s="45"/>
      <c r="K18" s="45"/>
      <c r="L18" s="29">
        <f>C18+D18-E18+F18-G18+J18-I18-K18</f>
        <v>3669949.52</v>
      </c>
      <c r="M18" s="29">
        <f>324883.58+265491.21+249714.95+249714.95+249714.95+296154.05+311633.76+249714.95+288414.21</f>
        <v>2485436.61</v>
      </c>
      <c r="N18" s="29">
        <f t="shared" si="1"/>
        <v>1184512.9100000001</v>
      </c>
      <c r="O18" s="28">
        <f>M18/$M$26</f>
        <v>0.62289009176754628</v>
      </c>
    </row>
    <row r="19" spans="1:15" ht="15.95" hidden="1" customHeight="1" x14ac:dyDescent="0.25">
      <c r="A19" s="30" t="s">
        <v>22</v>
      </c>
      <c r="B19" s="30" t="s">
        <v>30</v>
      </c>
      <c r="C19" s="29">
        <v>0</v>
      </c>
      <c r="D19" s="29"/>
      <c r="E19" s="29"/>
      <c r="F19" s="29"/>
      <c r="G19" s="29"/>
      <c r="H19" s="29"/>
      <c r="I19" s="29"/>
      <c r="J19" s="45"/>
      <c r="K19" s="45"/>
      <c r="L19" s="29">
        <f t="shared" si="0"/>
        <v>0</v>
      </c>
      <c r="M19" s="29"/>
      <c r="N19" s="29">
        <f t="shared" si="1"/>
        <v>0</v>
      </c>
      <c r="O19" s="28">
        <f>M19/$M$26</f>
        <v>0</v>
      </c>
    </row>
    <row r="20" spans="1:15" ht="15.95" customHeight="1" x14ac:dyDescent="0.25">
      <c r="A20" s="30" t="s">
        <v>23</v>
      </c>
      <c r="B20" s="30" t="s">
        <v>24</v>
      </c>
      <c r="C20" s="29">
        <v>2685493.4</v>
      </c>
      <c r="D20" s="29"/>
      <c r="E20" s="29"/>
      <c r="F20" s="29"/>
      <c r="G20" s="29">
        <v>781317.52</v>
      </c>
      <c r="H20" s="29"/>
      <c r="I20" s="29"/>
      <c r="J20" s="45"/>
      <c r="K20" s="45"/>
      <c r="L20" s="29">
        <f t="shared" si="0"/>
        <v>1904175.88</v>
      </c>
      <c r="M20" s="29">
        <f>258799.62+537471.09+518983.35+214618.4-23767.9-68260.18</f>
        <v>1437844.3800000001</v>
      </c>
      <c r="N20" s="29">
        <f t="shared" si="1"/>
        <v>466331.49999999977</v>
      </c>
      <c r="O20" s="28">
        <f>M20/$M$26</f>
        <v>0.36034675525506593</v>
      </c>
    </row>
    <row r="21" spans="1:15" ht="15.95" customHeight="1" x14ac:dyDescent="0.25">
      <c r="A21" s="30" t="s">
        <v>25</v>
      </c>
      <c r="B21" s="30" t="s">
        <v>26</v>
      </c>
      <c r="C21" s="29">
        <v>20000</v>
      </c>
      <c r="D21" s="29"/>
      <c r="E21" s="29"/>
      <c r="F21" s="29"/>
      <c r="G21" s="29"/>
      <c r="H21" s="29"/>
      <c r="I21" s="29"/>
      <c r="J21" s="45"/>
      <c r="K21" s="45"/>
      <c r="L21" s="29">
        <f t="shared" si="0"/>
        <v>20000</v>
      </c>
      <c r="M21" s="29"/>
      <c r="N21" s="29">
        <f t="shared" si="1"/>
        <v>20000</v>
      </c>
      <c r="O21" s="28">
        <f>M21/$M$26</f>
        <v>0</v>
      </c>
    </row>
    <row r="22" spans="1:15" ht="15.95" customHeight="1" x14ac:dyDescent="0.25">
      <c r="A22" s="31" t="s">
        <v>29</v>
      </c>
      <c r="B22" s="31" t="s">
        <v>31</v>
      </c>
      <c r="C22" s="32">
        <v>50000</v>
      </c>
      <c r="D22" s="32"/>
      <c r="E22" s="32"/>
      <c r="F22" s="32"/>
      <c r="G22" s="32"/>
      <c r="H22" s="32"/>
      <c r="I22" s="32"/>
      <c r="J22" s="64"/>
      <c r="K22" s="64"/>
      <c r="L22" s="29">
        <f t="shared" si="0"/>
        <v>50000</v>
      </c>
      <c r="M22" s="29"/>
      <c r="N22" s="29">
        <f t="shared" si="1"/>
        <v>50000</v>
      </c>
      <c r="O22" s="28">
        <f>M22/$M$26</f>
        <v>0</v>
      </c>
    </row>
    <row r="23" spans="1:15" ht="15.95" customHeight="1" x14ac:dyDescent="0.25">
      <c r="A23" s="26"/>
      <c r="B23" s="26" t="s">
        <v>187</v>
      </c>
      <c r="C23" s="27"/>
      <c r="D23" s="29"/>
      <c r="E23" s="29"/>
      <c r="F23" s="29"/>
      <c r="G23" s="29"/>
      <c r="H23" s="29"/>
      <c r="I23" s="29"/>
      <c r="J23" s="45"/>
      <c r="K23" s="45"/>
      <c r="L23" s="27"/>
      <c r="M23" s="29"/>
      <c r="N23" s="27"/>
      <c r="O23" s="28"/>
    </row>
    <row r="24" spans="1:15" ht="15.95" customHeight="1" x14ac:dyDescent="0.25">
      <c r="A24" s="30" t="s">
        <v>190</v>
      </c>
      <c r="B24" s="30" t="s">
        <v>191</v>
      </c>
      <c r="C24" s="29">
        <v>260547.84</v>
      </c>
      <c r="D24" s="29"/>
      <c r="E24" s="29"/>
      <c r="F24" s="29"/>
      <c r="G24" s="29"/>
      <c r="H24" s="29"/>
      <c r="I24" s="29"/>
      <c r="J24" s="45"/>
      <c r="K24" s="45"/>
      <c r="L24" s="29">
        <f>C24+D24-E24+F24-G24+J24-K24</f>
        <v>260547.84</v>
      </c>
      <c r="M24" s="29"/>
      <c r="N24" s="29">
        <f>L24-M24</f>
        <v>260547.84</v>
      </c>
      <c r="O24" s="28">
        <f>M24/$M$26</f>
        <v>0</v>
      </c>
    </row>
    <row r="25" spans="1:15" ht="15.95" customHeight="1" thickBot="1" x14ac:dyDescent="0.3">
      <c r="A25" s="30" t="s">
        <v>189</v>
      </c>
      <c r="B25" s="30" t="s">
        <v>188</v>
      </c>
      <c r="C25" s="29">
        <v>1492732.86</v>
      </c>
      <c r="D25" s="29"/>
      <c r="E25" s="29"/>
      <c r="F25" s="29">
        <v>781317.52</v>
      </c>
      <c r="G25" s="29"/>
      <c r="H25" s="29"/>
      <c r="I25" s="29"/>
      <c r="J25" s="45"/>
      <c r="K25" s="45"/>
      <c r="L25" s="29">
        <f>C25+D25-E25+F25-G25+J25-K25</f>
        <v>2274050.38</v>
      </c>
      <c r="M25" s="29"/>
      <c r="N25" s="29">
        <f>L25-M25</f>
        <v>2274050.38</v>
      </c>
      <c r="O25" s="28">
        <f>M25/$M$26</f>
        <v>0</v>
      </c>
    </row>
    <row r="26" spans="1:15" ht="18" customHeight="1" thickBot="1" x14ac:dyDescent="0.3">
      <c r="A26" s="33"/>
      <c r="B26" s="34" t="s">
        <v>32</v>
      </c>
      <c r="C26" s="35">
        <f>SUM(C9:C25)</f>
        <v>8258523.6200000001</v>
      </c>
      <c r="D26" s="35">
        <f t="shared" ref="D26:N26" si="2">SUM(D9:D25)</f>
        <v>0</v>
      </c>
      <c r="E26" s="35">
        <f t="shared" si="2"/>
        <v>0</v>
      </c>
      <c r="F26" s="35">
        <f t="shared" si="2"/>
        <v>781317.52</v>
      </c>
      <c r="G26" s="35">
        <f t="shared" si="2"/>
        <v>781317.52</v>
      </c>
      <c r="H26" s="35">
        <f t="shared" si="2"/>
        <v>0</v>
      </c>
      <c r="I26" s="35">
        <f t="shared" si="2"/>
        <v>0</v>
      </c>
      <c r="J26" s="35">
        <f t="shared" si="2"/>
        <v>0</v>
      </c>
      <c r="K26" s="35">
        <f t="shared" si="2"/>
        <v>0</v>
      </c>
      <c r="L26" s="35">
        <f t="shared" si="2"/>
        <v>8258523.6200000001</v>
      </c>
      <c r="M26" s="35">
        <f>SUM(M10:M25)</f>
        <v>3990168.8</v>
      </c>
      <c r="N26" s="35">
        <f t="shared" si="2"/>
        <v>4268354.82</v>
      </c>
      <c r="O26" s="28"/>
    </row>
    <row r="27" spans="1:15" ht="15.95" customHeight="1" x14ac:dyDescent="0.2">
      <c r="A27" s="36"/>
      <c r="B27" s="36"/>
      <c r="C27" s="37"/>
      <c r="D27" s="37"/>
      <c r="E27" s="37"/>
      <c r="F27" s="37"/>
      <c r="G27" s="37"/>
      <c r="H27" s="37"/>
      <c r="I27" s="37"/>
      <c r="J27" s="63"/>
      <c r="K27" s="63"/>
      <c r="L27" s="37"/>
      <c r="M27" s="37"/>
      <c r="N27" s="37"/>
      <c r="O27" s="38"/>
    </row>
    <row r="28" spans="1:15" ht="15.95" customHeight="1" x14ac:dyDescent="0.25">
      <c r="A28" s="26" t="s">
        <v>33</v>
      </c>
      <c r="B28" s="26" t="s">
        <v>34</v>
      </c>
      <c r="C28" s="27"/>
      <c r="D28" s="29"/>
      <c r="E28" s="29"/>
      <c r="F28" s="29"/>
      <c r="G28" s="29"/>
      <c r="H28" s="29"/>
      <c r="I28" s="29"/>
      <c r="J28" s="45"/>
      <c r="K28" s="45"/>
      <c r="L28" s="29"/>
      <c r="M28" s="29"/>
      <c r="N28" s="29"/>
      <c r="O28" s="39"/>
    </row>
    <row r="29" spans="1:15" ht="15.95" customHeight="1" x14ac:dyDescent="0.25">
      <c r="A29" s="26"/>
      <c r="B29" s="26"/>
      <c r="C29" s="27"/>
      <c r="D29" s="29"/>
      <c r="E29" s="29"/>
      <c r="F29" s="29"/>
      <c r="G29" s="29"/>
      <c r="H29" s="29"/>
      <c r="I29" s="29"/>
      <c r="J29" s="45"/>
      <c r="K29" s="45"/>
      <c r="L29" s="29"/>
      <c r="M29" s="29"/>
      <c r="N29" s="29"/>
      <c r="O29" s="39"/>
    </row>
    <row r="30" spans="1:15" ht="15.95" customHeight="1" x14ac:dyDescent="0.25">
      <c r="A30" s="40">
        <v>0</v>
      </c>
      <c r="B30" s="41" t="s">
        <v>35</v>
      </c>
      <c r="C30" s="27"/>
      <c r="D30" s="29"/>
      <c r="E30" s="29"/>
      <c r="F30" s="45"/>
      <c r="G30" s="45"/>
      <c r="H30" s="29"/>
      <c r="I30" s="29"/>
      <c r="J30" s="45"/>
      <c r="K30" s="45"/>
      <c r="L30" s="29"/>
      <c r="M30" s="29"/>
      <c r="N30" s="29"/>
      <c r="O30" s="39"/>
    </row>
    <row r="31" spans="1:15" ht="15.95" customHeight="1" x14ac:dyDescent="0.2">
      <c r="A31" s="42" t="s">
        <v>36</v>
      </c>
      <c r="B31" s="30" t="s">
        <v>153</v>
      </c>
      <c r="C31" s="29">
        <v>814572.04</v>
      </c>
      <c r="D31" s="29"/>
      <c r="E31" s="29"/>
      <c r="F31" s="45"/>
      <c r="G31" s="45">
        <v>15000</v>
      </c>
      <c r="H31" s="29"/>
      <c r="I31" s="29"/>
      <c r="J31" s="45"/>
      <c r="K31" s="45"/>
      <c r="L31" s="29">
        <f>C31+D31-E31+F31-G31+H31+J31-I31-K31</f>
        <v>799572.04</v>
      </c>
      <c r="M31" s="29">
        <f>62931.76+63078.14+63078.14+63431.24-823.9+59547.14+59547.14+60135.64+63078.14+63078.14</f>
        <v>557081.57999999996</v>
      </c>
      <c r="N31" s="29">
        <f t="shared" ref="N31:N100" si="3">L31-M31</f>
        <v>242490.46000000008</v>
      </c>
      <c r="O31" s="39">
        <f>M31/$M$139</f>
        <v>0.16210621197518266</v>
      </c>
    </row>
    <row r="32" spans="1:15" ht="15.95" customHeight="1" x14ac:dyDescent="0.2">
      <c r="A32" s="42" t="s">
        <v>37</v>
      </c>
      <c r="B32" s="30" t="s">
        <v>154</v>
      </c>
      <c r="C32" s="29">
        <v>13700</v>
      </c>
      <c r="D32" s="29"/>
      <c r="E32" s="29"/>
      <c r="F32" s="45"/>
      <c r="G32" s="45"/>
      <c r="H32" s="29"/>
      <c r="I32" s="29"/>
      <c r="J32" s="45"/>
      <c r="K32" s="45"/>
      <c r="L32" s="29">
        <f t="shared" ref="L32:L42" si="4">C32+D32-E32+F32-G32+H32+J32-K32</f>
        <v>13700</v>
      </c>
      <c r="M32" s="29">
        <f>1125+1125+1125+1125+1125+1125+1125+1125+1125</f>
        <v>10125</v>
      </c>
      <c r="N32" s="29">
        <f t="shared" si="3"/>
        <v>3575</v>
      </c>
      <c r="O32" s="39">
        <f>M32/$M$139</f>
        <v>2.9462927068037766E-3</v>
      </c>
    </row>
    <row r="33" spans="1:15" ht="15.95" customHeight="1" x14ac:dyDescent="0.2">
      <c r="A33" s="42" t="s">
        <v>38</v>
      </c>
      <c r="B33" s="30" t="s">
        <v>155</v>
      </c>
      <c r="C33" s="29">
        <v>311100</v>
      </c>
      <c r="D33" s="29"/>
      <c r="E33" s="29"/>
      <c r="F33" s="45"/>
      <c r="G33" s="45"/>
      <c r="H33" s="29"/>
      <c r="I33" s="29"/>
      <c r="J33" s="45"/>
      <c r="K33" s="45"/>
      <c r="L33" s="29">
        <f t="shared" si="4"/>
        <v>311100</v>
      </c>
      <c r="M33" s="29">
        <f>21149+21149+21149+21000.64+19849+22380.68+21247.79+22440.75+21149</f>
        <v>191514.86000000002</v>
      </c>
      <c r="N33" s="29">
        <f t="shared" si="3"/>
        <v>119585.13999999998</v>
      </c>
      <c r="O33" s="39">
        <f>M33/$M$139</f>
        <v>5.5729267680251493E-2</v>
      </c>
    </row>
    <row r="34" spans="1:15" ht="15.95" customHeight="1" x14ac:dyDescent="0.3">
      <c r="A34" s="42" t="s">
        <v>264</v>
      </c>
      <c r="B34" s="30" t="s">
        <v>265</v>
      </c>
      <c r="C34" s="29"/>
      <c r="D34" s="29"/>
      <c r="E34" s="29"/>
      <c r="F34" s="45">
        <v>15000</v>
      </c>
      <c r="G34" s="45"/>
      <c r="H34" s="29"/>
      <c r="I34" s="29"/>
      <c r="J34" s="45"/>
      <c r="K34" s="45"/>
      <c r="L34" s="29">
        <f t="shared" si="4"/>
        <v>15000</v>
      </c>
      <c r="M34" s="29">
        <f>823.9+3531+3531+3177.9</f>
        <v>11063.8</v>
      </c>
      <c r="N34" s="29">
        <f t="shared" si="3"/>
        <v>3936.2000000000007</v>
      </c>
      <c r="O34" s="39"/>
    </row>
    <row r="35" spans="1:15" ht="15.95" customHeight="1" x14ac:dyDescent="0.2">
      <c r="A35" s="42" t="s">
        <v>247</v>
      </c>
      <c r="B35" s="30" t="s">
        <v>248</v>
      </c>
      <c r="C35" s="29">
        <v>154000</v>
      </c>
      <c r="D35" s="29"/>
      <c r="E35" s="29"/>
      <c r="F35" s="45"/>
      <c r="G35" s="45"/>
      <c r="H35" s="29"/>
      <c r="I35" s="29"/>
      <c r="J35" s="45"/>
      <c r="K35" s="45"/>
      <c r="L35" s="29">
        <f t="shared" si="4"/>
        <v>154000</v>
      </c>
      <c r="M35" s="29"/>
      <c r="N35" s="29">
        <f t="shared" si="3"/>
        <v>154000</v>
      </c>
      <c r="O35" s="39">
        <f>M35/$M$139</f>
        <v>0</v>
      </c>
    </row>
    <row r="36" spans="1:15" ht="15.95" customHeight="1" x14ac:dyDescent="0.2">
      <c r="A36" s="42" t="s">
        <v>39</v>
      </c>
      <c r="B36" s="30" t="s">
        <v>40</v>
      </c>
      <c r="C36" s="29">
        <v>17500</v>
      </c>
      <c r="D36" s="29"/>
      <c r="E36" s="29"/>
      <c r="F36" s="45"/>
      <c r="G36" s="45"/>
      <c r="H36" s="29"/>
      <c r="I36" s="29"/>
      <c r="J36" s="45"/>
      <c r="K36" s="45"/>
      <c r="L36" s="29">
        <f t="shared" si="4"/>
        <v>17500</v>
      </c>
      <c r="M36" s="29">
        <f>1080+1800+2700</f>
        <v>5580</v>
      </c>
      <c r="N36" s="29">
        <f t="shared" si="3"/>
        <v>11920</v>
      </c>
      <c r="O36" s="39">
        <f t="shared" ref="O36:O42" si="5">M36/$M$139</f>
        <v>1.6237346473051925E-3</v>
      </c>
    </row>
    <row r="37" spans="1:15" ht="15.95" customHeight="1" x14ac:dyDescent="0.2">
      <c r="A37" s="42" t="s">
        <v>41</v>
      </c>
      <c r="B37" s="30" t="s">
        <v>156</v>
      </c>
      <c r="C37" s="29">
        <v>34510.800000000003</v>
      </c>
      <c r="D37" s="29"/>
      <c r="E37" s="29"/>
      <c r="F37" s="45"/>
      <c r="G37" s="45"/>
      <c r="H37" s="29"/>
      <c r="I37" s="29"/>
      <c r="J37" s="45"/>
      <c r="K37" s="45"/>
      <c r="L37" s="29">
        <f t="shared" si="4"/>
        <v>34510.800000000003</v>
      </c>
      <c r="M37" s="29">
        <f>3669.23+3812.08+1678.08+1537.98+3962.93+106.83</f>
        <v>14767.13</v>
      </c>
      <c r="N37" s="29">
        <f t="shared" si="3"/>
        <v>19743.670000000006</v>
      </c>
      <c r="O37" s="39">
        <f t="shared" si="5"/>
        <v>4.2971148068566174E-3</v>
      </c>
    </row>
    <row r="38" spans="1:15" ht="15.95" customHeight="1" x14ac:dyDescent="0.2">
      <c r="A38" s="42" t="s">
        <v>42</v>
      </c>
      <c r="B38" s="30" t="s">
        <v>157</v>
      </c>
      <c r="C38" s="29">
        <v>87401.15</v>
      </c>
      <c r="D38" s="29"/>
      <c r="E38" s="29"/>
      <c r="F38" s="45"/>
      <c r="G38" s="45"/>
      <c r="H38" s="29"/>
      <c r="I38" s="29"/>
      <c r="J38" s="45"/>
      <c r="K38" s="45"/>
      <c r="L38" s="29">
        <f t="shared" si="4"/>
        <v>87401.15</v>
      </c>
      <c r="M38" s="29">
        <f>6536.21+6924.6+7121.94+7174.86+6909.49+6894.54+7178.39+6730.44+6741.84</f>
        <v>62212.31</v>
      </c>
      <c r="N38" s="29">
        <f t="shared" si="3"/>
        <v>25188.839999999997</v>
      </c>
      <c r="O38" s="39">
        <f t="shared" si="5"/>
        <v>1.8103276565571917E-2</v>
      </c>
    </row>
    <row r="39" spans="1:15" ht="15.95" customHeight="1" x14ac:dyDescent="0.2">
      <c r="A39" s="42" t="s">
        <v>43</v>
      </c>
      <c r="B39" s="30" t="s">
        <v>158</v>
      </c>
      <c r="C39" s="29">
        <v>8190.84</v>
      </c>
      <c r="D39" s="29"/>
      <c r="E39" s="29"/>
      <c r="F39" s="45"/>
      <c r="G39" s="45"/>
      <c r="H39" s="29"/>
      <c r="I39" s="29"/>
      <c r="J39" s="45"/>
      <c r="K39" s="45"/>
      <c r="L39" s="29">
        <f t="shared" si="4"/>
        <v>8190.84</v>
      </c>
      <c r="M39" s="29">
        <f>587.53+672.57+667.47+672.43+647.56+646.16+672.76+630.78+631.85</f>
        <v>5829.11</v>
      </c>
      <c r="N39" s="29">
        <f t="shared" si="3"/>
        <v>2361.7300000000005</v>
      </c>
      <c r="O39" s="39">
        <f t="shared" si="5"/>
        <v>1.696223632608095E-3</v>
      </c>
    </row>
    <row r="40" spans="1:15" ht="15.95" customHeight="1" x14ac:dyDescent="0.2">
      <c r="A40" s="42" t="s">
        <v>44</v>
      </c>
      <c r="B40" s="30" t="s">
        <v>45</v>
      </c>
      <c r="C40" s="29">
        <v>67581.009999999995</v>
      </c>
      <c r="D40" s="29"/>
      <c r="E40" s="29"/>
      <c r="F40" s="45"/>
      <c r="G40" s="45"/>
      <c r="H40" s="29"/>
      <c r="I40" s="29"/>
      <c r="J40" s="45"/>
      <c r="K40" s="45"/>
      <c r="L40" s="29">
        <f t="shared" si="4"/>
        <v>67581.009999999995</v>
      </c>
      <c r="M40" s="29">
        <v>919.03</v>
      </c>
      <c r="N40" s="29">
        <f t="shared" si="3"/>
        <v>66661.98</v>
      </c>
      <c r="O40" s="39">
        <f t="shared" si="5"/>
        <v>2.6743026037865427E-4</v>
      </c>
    </row>
    <row r="41" spans="1:15" ht="15.95" customHeight="1" x14ac:dyDescent="0.2">
      <c r="A41" s="42" t="s">
        <v>46</v>
      </c>
      <c r="B41" s="30" t="s">
        <v>159</v>
      </c>
      <c r="C41" s="29">
        <v>67581.009999999995</v>
      </c>
      <c r="D41" s="29"/>
      <c r="E41" s="29"/>
      <c r="F41" s="45"/>
      <c r="G41" s="45"/>
      <c r="H41" s="29"/>
      <c r="I41" s="29"/>
      <c r="J41" s="45"/>
      <c r="K41" s="45"/>
      <c r="L41" s="29">
        <f t="shared" si="4"/>
        <v>67581.009999999995</v>
      </c>
      <c r="M41" s="29">
        <v>64600.41</v>
      </c>
      <c r="N41" s="29">
        <f t="shared" si="3"/>
        <v>2980.5999999999913</v>
      </c>
      <c r="O41" s="39">
        <f t="shared" si="5"/>
        <v>1.879819425575642E-2</v>
      </c>
    </row>
    <row r="42" spans="1:15" ht="15.95" customHeight="1" x14ac:dyDescent="0.2">
      <c r="A42" s="42" t="s">
        <v>47</v>
      </c>
      <c r="B42" s="30" t="s">
        <v>48</v>
      </c>
      <c r="C42" s="29">
        <v>4400</v>
      </c>
      <c r="D42" s="29"/>
      <c r="E42" s="29"/>
      <c r="F42" s="45"/>
      <c r="G42" s="45"/>
      <c r="H42" s="29"/>
      <c r="I42" s="29"/>
      <c r="J42" s="45"/>
      <c r="K42" s="45"/>
      <c r="L42" s="29">
        <f t="shared" si="4"/>
        <v>4400</v>
      </c>
      <c r="M42" s="29">
        <v>104.11</v>
      </c>
      <c r="N42" s="29">
        <f t="shared" si="3"/>
        <v>4295.8900000000003</v>
      </c>
      <c r="O42" s="39">
        <f t="shared" si="5"/>
        <v>3.0295163822749746E-5</v>
      </c>
    </row>
    <row r="43" spans="1:15" ht="15.95" customHeight="1" x14ac:dyDescent="0.2">
      <c r="A43" s="42"/>
      <c r="B43" s="30"/>
      <c r="C43" s="29"/>
      <c r="D43" s="29"/>
      <c r="E43" s="29"/>
      <c r="F43" s="45"/>
      <c r="G43" s="45"/>
      <c r="H43" s="29"/>
      <c r="I43" s="29"/>
      <c r="J43" s="45"/>
      <c r="K43" s="45"/>
      <c r="L43" s="29"/>
      <c r="M43" s="29"/>
      <c r="N43" s="29"/>
      <c r="O43" s="39"/>
    </row>
    <row r="44" spans="1:15" ht="15.95" customHeight="1" x14ac:dyDescent="0.2">
      <c r="A44" s="42"/>
      <c r="B44" s="30"/>
      <c r="C44" s="29"/>
      <c r="D44" s="29"/>
      <c r="E44" s="29"/>
      <c r="F44" s="45"/>
      <c r="G44" s="45"/>
      <c r="H44" s="29"/>
      <c r="I44" s="29"/>
      <c r="J44" s="45"/>
      <c r="K44" s="45"/>
      <c r="L44" s="29"/>
      <c r="M44" s="29"/>
      <c r="N44" s="29"/>
      <c r="O44" s="39"/>
    </row>
    <row r="45" spans="1:15" ht="15.95" customHeight="1" x14ac:dyDescent="0.25">
      <c r="A45" s="40">
        <v>1</v>
      </c>
      <c r="B45" s="41" t="s">
        <v>49</v>
      </c>
      <c r="C45" s="27"/>
      <c r="D45" s="29"/>
      <c r="E45" s="29"/>
      <c r="F45" s="45"/>
      <c r="G45" s="45"/>
      <c r="H45" s="29"/>
      <c r="I45" s="29"/>
      <c r="J45" s="45"/>
      <c r="K45" s="45"/>
      <c r="L45" s="29"/>
      <c r="M45" s="29"/>
      <c r="N45" s="29"/>
      <c r="O45" s="39"/>
    </row>
    <row r="46" spans="1:15" ht="15.95" customHeight="1" x14ac:dyDescent="0.2">
      <c r="A46" s="42" t="s">
        <v>92</v>
      </c>
      <c r="B46" s="30" t="s">
        <v>50</v>
      </c>
      <c r="C46" s="29">
        <v>13750</v>
      </c>
      <c r="D46" s="29"/>
      <c r="E46" s="29"/>
      <c r="F46" s="45"/>
      <c r="G46" s="45"/>
      <c r="H46" s="29"/>
      <c r="I46" s="29"/>
      <c r="J46" s="45"/>
      <c r="K46" s="45"/>
      <c r="L46" s="29">
        <f t="shared" ref="L46:L80" si="6">C46+D46-E46+F46-G46+H46+J46-K46</f>
        <v>13750</v>
      </c>
      <c r="M46" s="29">
        <f>530.61+1202.11+1310.83+1071.3+1507.98+1507.98+1349.52+1511.74+1342.22</f>
        <v>11334.289999999999</v>
      </c>
      <c r="N46" s="29">
        <f t="shared" si="3"/>
        <v>2415.7100000000009</v>
      </c>
      <c r="O46" s="39">
        <f t="shared" ref="O46:O55" si="7">M46/$M$139</f>
        <v>3.2981862680295281E-3</v>
      </c>
    </row>
    <row r="47" spans="1:15" ht="15.95" customHeight="1" x14ac:dyDescent="0.2">
      <c r="A47" s="42" t="s">
        <v>93</v>
      </c>
      <c r="B47" s="30" t="s">
        <v>51</v>
      </c>
      <c r="C47" s="29">
        <v>26100</v>
      </c>
      <c r="D47" s="29"/>
      <c r="E47" s="29"/>
      <c r="F47" s="45"/>
      <c r="G47" s="45"/>
      <c r="H47" s="29"/>
      <c r="I47" s="29"/>
      <c r="J47" s="45"/>
      <c r="K47" s="45"/>
      <c r="L47" s="29">
        <f t="shared" si="6"/>
        <v>26100</v>
      </c>
      <c r="M47" s="29">
        <f>4693.76+608+615.86+618+618+618+622.2+618+618</f>
        <v>9629.82</v>
      </c>
      <c r="N47" s="29">
        <f t="shared" si="3"/>
        <v>16470.18</v>
      </c>
      <c r="O47" s="39">
        <f t="shared" si="7"/>
        <v>2.8021993514896933E-3</v>
      </c>
    </row>
    <row r="48" spans="1:15" ht="15.95" customHeight="1" x14ac:dyDescent="0.2">
      <c r="A48" s="42" t="s">
        <v>94</v>
      </c>
      <c r="B48" s="30" t="s">
        <v>52</v>
      </c>
      <c r="C48" s="29">
        <v>2000</v>
      </c>
      <c r="D48" s="29"/>
      <c r="E48" s="29"/>
      <c r="F48" s="45"/>
      <c r="G48" s="45"/>
      <c r="H48" s="29"/>
      <c r="I48" s="29"/>
      <c r="J48" s="45"/>
      <c r="K48" s="45"/>
      <c r="L48" s="29">
        <f t="shared" si="6"/>
        <v>2000</v>
      </c>
      <c r="M48" s="29"/>
      <c r="N48" s="29">
        <f t="shared" si="3"/>
        <v>2000</v>
      </c>
      <c r="O48" s="39">
        <f t="shared" si="7"/>
        <v>0</v>
      </c>
    </row>
    <row r="49" spans="1:15" ht="15.95" customHeight="1" x14ac:dyDescent="0.2">
      <c r="A49" s="42" t="s">
        <v>95</v>
      </c>
      <c r="B49" s="30" t="s">
        <v>160</v>
      </c>
      <c r="C49" s="29">
        <v>8000</v>
      </c>
      <c r="D49" s="29"/>
      <c r="E49" s="29"/>
      <c r="F49" s="45"/>
      <c r="G49" s="45"/>
      <c r="H49" s="29"/>
      <c r="I49" s="29"/>
      <c r="J49" s="45"/>
      <c r="K49" s="45"/>
      <c r="L49" s="29">
        <f t="shared" si="6"/>
        <v>8000</v>
      </c>
      <c r="M49" s="29">
        <f>1020+2040</f>
        <v>3060</v>
      </c>
      <c r="N49" s="29">
        <f t="shared" si="3"/>
        <v>4940</v>
      </c>
      <c r="O49" s="39">
        <f t="shared" si="7"/>
        <v>8.9043512916736362E-4</v>
      </c>
    </row>
    <row r="50" spans="1:15" ht="15.95" customHeight="1" x14ac:dyDescent="0.2">
      <c r="A50" s="42" t="s">
        <v>96</v>
      </c>
      <c r="B50" s="30" t="s">
        <v>161</v>
      </c>
      <c r="C50" s="29">
        <v>14250</v>
      </c>
      <c r="D50" s="29"/>
      <c r="E50" s="29"/>
      <c r="F50" s="45"/>
      <c r="G50" s="45"/>
      <c r="H50" s="29"/>
      <c r="I50" s="29"/>
      <c r="J50" s="45"/>
      <c r="K50" s="45"/>
      <c r="L50" s="29">
        <f t="shared" si="6"/>
        <v>14250</v>
      </c>
      <c r="M50" s="29">
        <f>18.9+13.5+13.5+152.35+18.9+138.2+3349+697+2132.4</f>
        <v>6533.75</v>
      </c>
      <c r="N50" s="29">
        <f t="shared" si="3"/>
        <v>7716.25</v>
      </c>
      <c r="O50" s="39">
        <f t="shared" si="7"/>
        <v>1.9012681454893012E-3</v>
      </c>
    </row>
    <row r="51" spans="1:15" ht="15.95" customHeight="1" x14ac:dyDescent="0.2">
      <c r="A51" s="42" t="s">
        <v>97</v>
      </c>
      <c r="B51" s="30" t="s">
        <v>162</v>
      </c>
      <c r="C51" s="29">
        <v>673088.47</v>
      </c>
      <c r="D51" s="29"/>
      <c r="E51" s="29"/>
      <c r="F51" s="45">
        <v>323970.59999999998</v>
      </c>
      <c r="G51" s="45">
        <v>379217.52</v>
      </c>
      <c r="H51" s="29"/>
      <c r="I51" s="29"/>
      <c r="J51" s="45"/>
      <c r="K51" s="45"/>
      <c r="L51" s="29">
        <f>C51+D51-E51+F51-G51+H51-I51+J51-K51</f>
        <v>617841.54999999993</v>
      </c>
      <c r="M51" s="29">
        <f>90330.35+113542.08+268095.07</f>
        <v>471967.5</v>
      </c>
      <c r="N51" s="29">
        <f t="shared" si="3"/>
        <v>145874.04999999993</v>
      </c>
      <c r="O51" s="39">
        <f t="shared" si="7"/>
        <v>0.13733870647885543</v>
      </c>
    </row>
    <row r="52" spans="1:15" ht="15.95" customHeight="1" x14ac:dyDescent="0.2">
      <c r="A52" s="42" t="s">
        <v>98</v>
      </c>
      <c r="B52" s="30" t="s">
        <v>53</v>
      </c>
      <c r="C52" s="29">
        <v>563742.69999999995</v>
      </c>
      <c r="D52" s="29"/>
      <c r="E52" s="29"/>
      <c r="F52" s="45"/>
      <c r="G52" s="45"/>
      <c r="H52" s="29"/>
      <c r="I52" s="29"/>
      <c r="J52" s="45"/>
      <c r="K52" s="45"/>
      <c r="L52" s="29">
        <f t="shared" si="6"/>
        <v>563742.69999999995</v>
      </c>
      <c r="M52" s="29">
        <f>2894.44+80982.64+132982.32+7555.83+155976.29</f>
        <v>380391.52</v>
      </c>
      <c r="N52" s="29">
        <f t="shared" si="3"/>
        <v>183351.17999999993</v>
      </c>
      <c r="O52" s="39">
        <f t="shared" si="7"/>
        <v>0.11069084060306202</v>
      </c>
    </row>
    <row r="53" spans="1:15" ht="15.95" customHeight="1" x14ac:dyDescent="0.2">
      <c r="A53" s="42" t="s">
        <v>99</v>
      </c>
      <c r="B53" s="30" t="s">
        <v>163</v>
      </c>
      <c r="C53" s="29">
        <v>500985.37</v>
      </c>
      <c r="D53" s="29"/>
      <c r="E53" s="29"/>
      <c r="F53" s="45"/>
      <c r="G53" s="45"/>
      <c r="H53" s="29"/>
      <c r="I53" s="29"/>
      <c r="J53" s="45"/>
      <c r="K53" s="45"/>
      <c r="L53" s="29">
        <f t="shared" si="6"/>
        <v>500985.37</v>
      </c>
      <c r="M53" s="29">
        <f>29413.01+7189.7+7639.88+133891.61+29801.07+80892.52+96093.47</f>
        <v>384921.26</v>
      </c>
      <c r="N53" s="29">
        <f t="shared" si="3"/>
        <v>116064.10999999999</v>
      </c>
      <c r="O53" s="39">
        <f t="shared" si="7"/>
        <v>0.11200895812658966</v>
      </c>
    </row>
    <row r="54" spans="1:15" ht="15.95" customHeight="1" x14ac:dyDescent="0.2">
      <c r="A54" s="42" t="s">
        <v>100</v>
      </c>
      <c r="B54" s="30" t="s">
        <v>54</v>
      </c>
      <c r="C54" s="29">
        <v>225000</v>
      </c>
      <c r="D54" s="29"/>
      <c r="E54" s="29"/>
      <c r="F54" s="45"/>
      <c r="G54" s="45">
        <v>175000</v>
      </c>
      <c r="H54" s="29"/>
      <c r="I54" s="29"/>
      <c r="J54" s="45"/>
      <c r="K54" s="45"/>
      <c r="L54" s="29">
        <f>C54+D54-E54+F54-G54+H54+J54-I54-K54</f>
        <v>50000</v>
      </c>
      <c r="M54" s="29">
        <v>9300</v>
      </c>
      <c r="N54" s="29">
        <f t="shared" si="3"/>
        <v>40700</v>
      </c>
      <c r="O54" s="39">
        <f t="shared" si="7"/>
        <v>2.7062244121753205E-3</v>
      </c>
    </row>
    <row r="55" spans="1:15" ht="15.95" customHeight="1" x14ac:dyDescent="0.2">
      <c r="A55" s="42" t="s">
        <v>101</v>
      </c>
      <c r="B55" s="30" t="s">
        <v>55</v>
      </c>
      <c r="C55" s="29">
        <v>75000</v>
      </c>
      <c r="D55" s="29"/>
      <c r="E55" s="29"/>
      <c r="F55" s="45"/>
      <c r="G55" s="45"/>
      <c r="H55" s="29"/>
      <c r="I55" s="29"/>
      <c r="J55" s="45"/>
      <c r="K55" s="45"/>
      <c r="L55" s="29">
        <f>C55+D55-E55+F55-G55+H55+J55-I55-K55</f>
        <v>75000</v>
      </c>
      <c r="M55" s="29">
        <v>5700</v>
      </c>
      <c r="N55" s="29">
        <f t="shared" si="3"/>
        <v>69300</v>
      </c>
      <c r="O55" s="39">
        <f t="shared" si="7"/>
        <v>1.6586536719784223E-3</v>
      </c>
    </row>
    <row r="56" spans="1:15" ht="15.95" customHeight="1" x14ac:dyDescent="0.2">
      <c r="A56" s="42">
        <v>151</v>
      </c>
      <c r="B56" s="30" t="s">
        <v>249</v>
      </c>
      <c r="C56" s="29">
        <v>90000</v>
      </c>
      <c r="D56" s="29"/>
      <c r="E56" s="29"/>
      <c r="F56" s="45"/>
      <c r="G56" s="45"/>
      <c r="H56" s="29"/>
      <c r="I56" s="29"/>
      <c r="J56" s="45"/>
      <c r="K56" s="45"/>
      <c r="L56" s="29">
        <f t="shared" si="6"/>
        <v>90000</v>
      </c>
      <c r="M56" s="29">
        <f>11250+11250+11250+11250+11250</f>
        <v>56250</v>
      </c>
      <c r="N56" s="29">
        <f t="shared" si="3"/>
        <v>33750</v>
      </c>
      <c r="O56" s="39"/>
    </row>
    <row r="57" spans="1:15" ht="15.95" customHeight="1" x14ac:dyDescent="0.2">
      <c r="A57" s="42" t="s">
        <v>102</v>
      </c>
      <c r="B57" s="30" t="s">
        <v>56</v>
      </c>
      <c r="C57" s="29">
        <v>4400</v>
      </c>
      <c r="D57" s="29"/>
      <c r="E57" s="29"/>
      <c r="F57" s="45"/>
      <c r="G57" s="45"/>
      <c r="H57" s="29"/>
      <c r="I57" s="29"/>
      <c r="J57" s="45"/>
      <c r="K57" s="45"/>
      <c r="L57" s="29">
        <f t="shared" si="6"/>
        <v>4400</v>
      </c>
      <c r="M57" s="29">
        <v>4200</v>
      </c>
      <c r="N57" s="29">
        <f t="shared" si="3"/>
        <v>200</v>
      </c>
      <c r="O57" s="39">
        <f t="shared" ref="O57:O62" si="8">M57/$M$139</f>
        <v>1.222165863563048E-3</v>
      </c>
    </row>
    <row r="58" spans="1:15" ht="15.95" customHeight="1" x14ac:dyDescent="0.2">
      <c r="A58" s="42" t="s">
        <v>103</v>
      </c>
      <c r="B58" s="30" t="s">
        <v>164</v>
      </c>
      <c r="C58" s="29">
        <v>3004.32</v>
      </c>
      <c r="D58" s="29"/>
      <c r="E58" s="29"/>
      <c r="F58" s="45"/>
      <c r="G58" s="45"/>
      <c r="H58" s="29"/>
      <c r="I58" s="29"/>
      <c r="J58" s="45"/>
      <c r="K58" s="45"/>
      <c r="L58" s="29">
        <f t="shared" si="6"/>
        <v>3004.32</v>
      </c>
      <c r="M58" s="29"/>
      <c r="N58" s="29">
        <f t="shared" si="3"/>
        <v>3004.32</v>
      </c>
      <c r="O58" s="39">
        <f t="shared" si="8"/>
        <v>0</v>
      </c>
    </row>
    <row r="59" spans="1:15" ht="15.95" customHeight="1" x14ac:dyDescent="0.2">
      <c r="A59" s="42" t="s">
        <v>104</v>
      </c>
      <c r="B59" s="30" t="s">
        <v>165</v>
      </c>
      <c r="C59" s="29">
        <v>7750</v>
      </c>
      <c r="D59" s="29"/>
      <c r="E59" s="29"/>
      <c r="F59" s="45"/>
      <c r="G59" s="45"/>
      <c r="H59" s="29"/>
      <c r="I59" s="29"/>
      <c r="J59" s="45"/>
      <c r="K59" s="45"/>
      <c r="L59" s="29">
        <f t="shared" si="6"/>
        <v>7750</v>
      </c>
      <c r="M59" s="29">
        <f>3600+750+5500</f>
        <v>9850</v>
      </c>
      <c r="N59" s="29">
        <f t="shared" si="3"/>
        <v>-2100</v>
      </c>
      <c r="O59" s="39">
        <f t="shared" si="8"/>
        <v>2.8662699419276247E-3</v>
      </c>
    </row>
    <row r="60" spans="1:15" ht="15.95" customHeight="1" x14ac:dyDescent="0.2">
      <c r="A60" s="42" t="s">
        <v>105</v>
      </c>
      <c r="B60" s="30" t="s">
        <v>166</v>
      </c>
      <c r="C60" s="29">
        <v>7000</v>
      </c>
      <c r="D60" s="29"/>
      <c r="E60" s="29"/>
      <c r="F60" s="45"/>
      <c r="G60" s="45"/>
      <c r="H60" s="29"/>
      <c r="I60" s="29"/>
      <c r="J60" s="45"/>
      <c r="K60" s="45"/>
      <c r="L60" s="29">
        <f t="shared" si="6"/>
        <v>7000</v>
      </c>
      <c r="M60" s="29">
        <f>10354.57+530.59</f>
        <v>10885.16</v>
      </c>
      <c r="N60" s="29">
        <f t="shared" si="3"/>
        <v>-3885.16</v>
      </c>
      <c r="O60" s="39">
        <f t="shared" si="8"/>
        <v>3.1674930884337971E-3</v>
      </c>
    </row>
    <row r="61" spans="1:15" ht="15.95" customHeight="1" x14ac:dyDescent="0.2">
      <c r="A61" s="42" t="s">
        <v>106</v>
      </c>
      <c r="B61" s="30" t="s">
        <v>167</v>
      </c>
      <c r="C61" s="29">
        <v>14000</v>
      </c>
      <c r="D61" s="29"/>
      <c r="E61" s="29"/>
      <c r="F61" s="45"/>
      <c r="G61" s="45"/>
      <c r="H61" s="29"/>
      <c r="I61" s="29"/>
      <c r="J61" s="45"/>
      <c r="K61" s="45"/>
      <c r="L61" s="29">
        <f t="shared" si="6"/>
        <v>14000</v>
      </c>
      <c r="M61" s="29">
        <f>500+1160</f>
        <v>1660</v>
      </c>
      <c r="N61" s="29">
        <f t="shared" si="3"/>
        <v>12340</v>
      </c>
      <c r="O61" s="39">
        <f t="shared" si="8"/>
        <v>4.8304650797968088E-4</v>
      </c>
    </row>
    <row r="62" spans="1:15" ht="15.95" hidden="1" customHeight="1" x14ac:dyDescent="0.2">
      <c r="A62" s="42" t="s">
        <v>107</v>
      </c>
      <c r="B62" s="30" t="s">
        <v>168</v>
      </c>
      <c r="C62" s="29">
        <v>0</v>
      </c>
      <c r="D62" s="29"/>
      <c r="E62" s="29"/>
      <c r="F62" s="45"/>
      <c r="G62" s="45"/>
      <c r="H62" s="29"/>
      <c r="I62" s="29"/>
      <c r="J62" s="45"/>
      <c r="K62" s="45"/>
      <c r="L62" s="29">
        <f t="shared" si="6"/>
        <v>0</v>
      </c>
      <c r="M62" s="29"/>
      <c r="N62" s="29">
        <f t="shared" si="3"/>
        <v>0</v>
      </c>
      <c r="O62" s="39">
        <f t="shared" si="8"/>
        <v>0</v>
      </c>
    </row>
    <row r="63" spans="1:15" ht="15.95" customHeight="1" x14ac:dyDescent="0.2">
      <c r="A63" s="42">
        <v>169</v>
      </c>
      <c r="B63" s="30" t="s">
        <v>239</v>
      </c>
      <c r="C63" s="29">
        <v>15000</v>
      </c>
      <c r="D63" s="29"/>
      <c r="E63" s="29"/>
      <c r="F63" s="45"/>
      <c r="G63" s="45"/>
      <c r="H63" s="29"/>
      <c r="I63" s="29"/>
      <c r="J63" s="45"/>
      <c r="K63" s="45"/>
      <c r="L63" s="29">
        <f t="shared" si="6"/>
        <v>15000</v>
      </c>
      <c r="M63" s="29"/>
      <c r="N63" s="29">
        <f t="shared" si="3"/>
        <v>15000</v>
      </c>
      <c r="O63" s="39"/>
    </row>
    <row r="64" spans="1:15" ht="15.95" customHeight="1" x14ac:dyDescent="0.2">
      <c r="A64" s="42">
        <v>171</v>
      </c>
      <c r="B64" s="30" t="s">
        <v>168</v>
      </c>
      <c r="C64" s="29">
        <v>115000</v>
      </c>
      <c r="D64" s="29"/>
      <c r="E64" s="29"/>
      <c r="F64" s="45"/>
      <c r="G64" s="45">
        <v>80000</v>
      </c>
      <c r="H64" s="29"/>
      <c r="I64" s="29"/>
      <c r="J64" s="45"/>
      <c r="K64" s="45"/>
      <c r="L64" s="29">
        <f>C64+D64-E64+F64-G64+H64+J64-I64-K64</f>
        <v>35000</v>
      </c>
      <c r="M64" s="29"/>
      <c r="N64" s="29">
        <f t="shared" si="3"/>
        <v>35000</v>
      </c>
      <c r="O64" s="39"/>
    </row>
    <row r="65" spans="1:15" ht="15.95" customHeight="1" x14ac:dyDescent="0.2">
      <c r="A65" s="42" t="s">
        <v>108</v>
      </c>
      <c r="B65" s="30" t="s">
        <v>169</v>
      </c>
      <c r="C65" s="29">
        <v>30750</v>
      </c>
      <c r="D65" s="29"/>
      <c r="E65" s="29"/>
      <c r="F65" s="45"/>
      <c r="G65" s="45"/>
      <c r="H65" s="29"/>
      <c r="I65" s="29"/>
      <c r="J65" s="45"/>
      <c r="K65" s="45"/>
      <c r="L65" s="29">
        <f t="shared" si="6"/>
        <v>30750</v>
      </c>
      <c r="M65" s="29"/>
      <c r="N65" s="29">
        <f t="shared" si="3"/>
        <v>30750</v>
      </c>
      <c r="O65" s="39">
        <f t="shared" ref="O65:O80" si="9">M65/$M$139</f>
        <v>0</v>
      </c>
    </row>
    <row r="66" spans="1:15" ht="15.95" customHeight="1" x14ac:dyDescent="0.2">
      <c r="A66" s="42" t="s">
        <v>109</v>
      </c>
      <c r="B66" s="30" t="s">
        <v>170</v>
      </c>
      <c r="C66" s="29">
        <v>260706.83</v>
      </c>
      <c r="D66" s="29"/>
      <c r="E66" s="29"/>
      <c r="F66" s="45"/>
      <c r="G66" s="45"/>
      <c r="H66" s="29"/>
      <c r="I66" s="29"/>
      <c r="J66" s="45"/>
      <c r="K66" s="45"/>
      <c r="L66" s="29">
        <f t="shared" si="6"/>
        <v>260706.83</v>
      </c>
      <c r="M66" s="29"/>
      <c r="N66" s="29">
        <f t="shared" si="3"/>
        <v>260706.83</v>
      </c>
      <c r="O66" s="39">
        <f t="shared" si="9"/>
        <v>0</v>
      </c>
    </row>
    <row r="67" spans="1:15" ht="15.95" customHeight="1" x14ac:dyDescent="0.2">
      <c r="A67" s="42">
        <v>182</v>
      </c>
      <c r="B67" s="30" t="s">
        <v>237</v>
      </c>
      <c r="C67" s="29">
        <v>10000</v>
      </c>
      <c r="D67" s="29"/>
      <c r="E67" s="29"/>
      <c r="F67" s="45"/>
      <c r="G67" s="45"/>
      <c r="H67" s="29"/>
      <c r="I67" s="29"/>
      <c r="J67" s="45"/>
      <c r="K67" s="45"/>
      <c r="L67" s="29">
        <f t="shared" si="6"/>
        <v>10000</v>
      </c>
      <c r="M67" s="29"/>
      <c r="N67" s="29">
        <f t="shared" si="3"/>
        <v>10000</v>
      </c>
      <c r="O67" s="39">
        <f t="shared" si="9"/>
        <v>0</v>
      </c>
    </row>
    <row r="68" spans="1:15" ht="15.95" customHeight="1" x14ac:dyDescent="0.2">
      <c r="A68" s="42" t="s">
        <v>110</v>
      </c>
      <c r="B68" s="30" t="s">
        <v>171</v>
      </c>
      <c r="C68" s="29">
        <v>54000</v>
      </c>
      <c r="D68" s="29"/>
      <c r="E68" s="29"/>
      <c r="F68" s="45"/>
      <c r="G68" s="45"/>
      <c r="H68" s="29"/>
      <c r="I68" s="29"/>
      <c r="J68" s="45"/>
      <c r="K68" s="45"/>
      <c r="L68" s="29">
        <f t="shared" si="6"/>
        <v>54000</v>
      </c>
      <c r="M68" s="29">
        <f>4500+4500+4500+4500+4500+4500+4500+4500+4500</f>
        <v>40500</v>
      </c>
      <c r="N68" s="29">
        <f t="shared" si="3"/>
        <v>13500</v>
      </c>
      <c r="O68" s="39">
        <f t="shared" si="9"/>
        <v>1.1785170827215107E-2</v>
      </c>
    </row>
    <row r="69" spans="1:15" ht="15.95" customHeight="1" x14ac:dyDescent="0.2">
      <c r="A69" s="42" t="s">
        <v>111</v>
      </c>
      <c r="B69" s="30" t="s">
        <v>172</v>
      </c>
      <c r="C69" s="29">
        <v>54000</v>
      </c>
      <c r="D69" s="29"/>
      <c r="E69" s="29"/>
      <c r="F69" s="45"/>
      <c r="G69" s="45"/>
      <c r="H69" s="29"/>
      <c r="I69" s="29"/>
      <c r="J69" s="45"/>
      <c r="K69" s="45"/>
      <c r="L69" s="29">
        <f t="shared" si="6"/>
        <v>54000</v>
      </c>
      <c r="M69" s="29">
        <f>4500+4500+4500+4500+4500+4500+4500+4500+4500</f>
        <v>40500</v>
      </c>
      <c r="N69" s="29">
        <f t="shared" si="3"/>
        <v>13500</v>
      </c>
      <c r="O69" s="39">
        <f t="shared" si="9"/>
        <v>1.1785170827215107E-2</v>
      </c>
    </row>
    <row r="70" spans="1:15" ht="15.95" customHeight="1" x14ac:dyDescent="0.2">
      <c r="A70" s="42" t="s">
        <v>112</v>
      </c>
      <c r="B70" s="30" t="s">
        <v>57</v>
      </c>
      <c r="C70" s="29">
        <v>7500</v>
      </c>
      <c r="D70" s="29"/>
      <c r="E70" s="29"/>
      <c r="F70" s="45"/>
      <c r="G70" s="45"/>
      <c r="H70" s="29"/>
      <c r="I70" s="29"/>
      <c r="J70" s="45"/>
      <c r="K70" s="45"/>
      <c r="L70" s="29">
        <f t="shared" si="6"/>
        <v>7500</v>
      </c>
      <c r="M70" s="29">
        <f>117.6+235.2+117.6</f>
        <v>470.4</v>
      </c>
      <c r="N70" s="29">
        <f t="shared" si="3"/>
        <v>7029.6</v>
      </c>
      <c r="O70" s="39">
        <f t="shared" si="9"/>
        <v>1.3688257671906138E-4</v>
      </c>
    </row>
    <row r="71" spans="1:15" ht="15.95" customHeight="1" x14ac:dyDescent="0.2">
      <c r="A71" s="42" t="s">
        <v>113</v>
      </c>
      <c r="B71" s="30" t="s">
        <v>173</v>
      </c>
      <c r="C71" s="29">
        <v>24540</v>
      </c>
      <c r="D71" s="29"/>
      <c r="E71" s="29"/>
      <c r="F71" s="45"/>
      <c r="G71" s="45"/>
      <c r="H71" s="29"/>
      <c r="I71" s="29"/>
      <c r="J71" s="45"/>
      <c r="K71" s="45"/>
      <c r="L71" s="29">
        <f t="shared" si="6"/>
        <v>24540</v>
      </c>
      <c r="M71" s="29"/>
      <c r="N71" s="29">
        <f t="shared" si="3"/>
        <v>24540</v>
      </c>
      <c r="O71" s="39">
        <f t="shared" si="9"/>
        <v>0</v>
      </c>
    </row>
    <row r="72" spans="1:15" ht="15.95" customHeight="1" x14ac:dyDescent="0.2">
      <c r="A72" s="42" t="s">
        <v>114</v>
      </c>
      <c r="B72" s="30" t="s">
        <v>174</v>
      </c>
      <c r="C72" s="29">
        <v>863300</v>
      </c>
      <c r="D72" s="29"/>
      <c r="E72" s="29"/>
      <c r="F72" s="45"/>
      <c r="G72" s="45"/>
      <c r="H72" s="29"/>
      <c r="I72" s="29"/>
      <c r="J72" s="45"/>
      <c r="K72" s="45"/>
      <c r="L72" s="29">
        <f t="shared" si="6"/>
        <v>863300</v>
      </c>
      <c r="M72" s="29">
        <f>1500+70267.86+117000.9+24486.58+24517.72+70585.29+23608.68+23587.65</f>
        <v>355554.68000000005</v>
      </c>
      <c r="N72" s="29">
        <f t="shared" si="3"/>
        <v>507745.31999999995</v>
      </c>
      <c r="O72" s="39">
        <f t="shared" si="9"/>
        <v>0.10346352203001982</v>
      </c>
    </row>
    <row r="73" spans="1:15" ht="15.95" customHeight="1" x14ac:dyDescent="0.2">
      <c r="A73" s="42" t="s">
        <v>115</v>
      </c>
      <c r="B73" s="30" t="s">
        <v>175</v>
      </c>
      <c r="C73" s="29">
        <v>8000</v>
      </c>
      <c r="D73" s="29"/>
      <c r="E73" s="29"/>
      <c r="F73" s="45"/>
      <c r="G73" s="45"/>
      <c r="H73" s="29"/>
      <c r="I73" s="29"/>
      <c r="J73" s="45"/>
      <c r="K73" s="45"/>
      <c r="L73" s="29">
        <f t="shared" si="6"/>
        <v>8000</v>
      </c>
      <c r="M73" s="29"/>
      <c r="N73" s="29">
        <f t="shared" si="3"/>
        <v>8000</v>
      </c>
      <c r="O73" s="39">
        <f t="shared" si="9"/>
        <v>0</v>
      </c>
    </row>
    <row r="74" spans="1:15" ht="15.95" customHeight="1" x14ac:dyDescent="0.2">
      <c r="A74" s="42" t="s">
        <v>116</v>
      </c>
      <c r="B74" s="30" t="s">
        <v>58</v>
      </c>
      <c r="C74" s="29">
        <v>176000</v>
      </c>
      <c r="D74" s="29"/>
      <c r="E74" s="29"/>
      <c r="F74" s="45"/>
      <c r="G74" s="45">
        <v>126000</v>
      </c>
      <c r="H74" s="29"/>
      <c r="I74" s="29"/>
      <c r="J74" s="45"/>
      <c r="K74" s="45"/>
      <c r="L74" s="29">
        <f>C74+D74-E74+F74-G74+H74+J74-I74-K74</f>
        <v>50000</v>
      </c>
      <c r="M74" s="29"/>
      <c r="N74" s="29">
        <f t="shared" si="3"/>
        <v>50000</v>
      </c>
      <c r="O74" s="39">
        <f t="shared" si="9"/>
        <v>0</v>
      </c>
    </row>
    <row r="75" spans="1:15" ht="15.95" customHeight="1" x14ac:dyDescent="0.2">
      <c r="A75" s="42" t="s">
        <v>117</v>
      </c>
      <c r="B75" s="30" t="s">
        <v>176</v>
      </c>
      <c r="C75" s="29">
        <v>8250</v>
      </c>
      <c r="D75" s="29"/>
      <c r="E75" s="29"/>
      <c r="F75" s="45"/>
      <c r="G75" s="45"/>
      <c r="H75" s="29"/>
      <c r="I75" s="29"/>
      <c r="J75" s="45"/>
      <c r="K75" s="45"/>
      <c r="L75" s="29">
        <f t="shared" si="6"/>
        <v>8250</v>
      </c>
      <c r="M75" s="29"/>
      <c r="N75" s="29">
        <f t="shared" si="3"/>
        <v>8250</v>
      </c>
      <c r="O75" s="39">
        <f t="shared" si="9"/>
        <v>0</v>
      </c>
    </row>
    <row r="76" spans="1:15" ht="15.95" customHeight="1" x14ac:dyDescent="0.2">
      <c r="A76" s="42" t="s">
        <v>118</v>
      </c>
      <c r="B76" s="30" t="s">
        <v>177</v>
      </c>
      <c r="C76" s="29">
        <v>2500</v>
      </c>
      <c r="D76" s="29"/>
      <c r="E76" s="29"/>
      <c r="F76" s="45"/>
      <c r="G76" s="45"/>
      <c r="H76" s="29"/>
      <c r="I76" s="29"/>
      <c r="J76" s="45"/>
      <c r="K76" s="45"/>
      <c r="L76" s="29">
        <f t="shared" si="6"/>
        <v>2500</v>
      </c>
      <c r="M76" s="29">
        <f>50.36+50.33+106.36+56.35+56.36+213.37+212.85+56.36+283.15</f>
        <v>1085.4900000000002</v>
      </c>
      <c r="N76" s="29">
        <f t="shared" si="3"/>
        <v>1414.5099999999998</v>
      </c>
      <c r="O76" s="39">
        <f t="shared" si="9"/>
        <v>3.1586876743786984E-4</v>
      </c>
    </row>
    <row r="77" spans="1:15" ht="15.95" customHeight="1" x14ac:dyDescent="0.2">
      <c r="A77" s="42" t="s">
        <v>119</v>
      </c>
      <c r="B77" s="30" t="s">
        <v>59</v>
      </c>
      <c r="C77" s="29">
        <v>125000</v>
      </c>
      <c r="D77" s="29"/>
      <c r="E77" s="29"/>
      <c r="F77" s="45"/>
      <c r="G77" s="45"/>
      <c r="H77" s="29"/>
      <c r="I77" s="29"/>
      <c r="J77" s="45"/>
      <c r="K77" s="45"/>
      <c r="L77" s="29">
        <f t="shared" si="6"/>
        <v>125000</v>
      </c>
      <c r="M77" s="29">
        <f>35.1+230.2+54994.3+28491.72</f>
        <v>83751.320000000007</v>
      </c>
      <c r="N77" s="29">
        <f t="shared" si="3"/>
        <v>41248.679999999993</v>
      </c>
      <c r="O77" s="39">
        <f t="shared" si="9"/>
        <v>2.4370953412463141E-2</v>
      </c>
    </row>
    <row r="78" spans="1:15" ht="15.95" customHeight="1" x14ac:dyDescent="0.2">
      <c r="A78" s="42" t="s">
        <v>120</v>
      </c>
      <c r="B78" s="30" t="s">
        <v>178</v>
      </c>
      <c r="C78" s="29">
        <v>50000</v>
      </c>
      <c r="D78" s="29"/>
      <c r="E78" s="29"/>
      <c r="F78" s="45"/>
      <c r="G78" s="45"/>
      <c r="H78" s="29"/>
      <c r="I78" s="29"/>
      <c r="J78" s="45"/>
      <c r="K78" s="45"/>
      <c r="L78" s="29">
        <f t="shared" ref="L78:L79" si="10">C78+D78-E78+F78-G78+H78+J78-I78-K78</f>
        <v>50000</v>
      </c>
      <c r="M78" s="29"/>
      <c r="N78" s="29">
        <f t="shared" si="3"/>
        <v>50000</v>
      </c>
      <c r="O78" s="39">
        <f t="shared" si="9"/>
        <v>0</v>
      </c>
    </row>
    <row r="79" spans="1:15" ht="15.95" customHeight="1" x14ac:dyDescent="0.2">
      <c r="A79" s="42" t="s">
        <v>179</v>
      </c>
      <c r="B79" s="30" t="s">
        <v>152</v>
      </c>
      <c r="C79" s="29">
        <v>46100</v>
      </c>
      <c r="D79" s="29"/>
      <c r="E79" s="29"/>
      <c r="F79" s="45"/>
      <c r="G79" s="45">
        <v>6100</v>
      </c>
      <c r="H79" s="29"/>
      <c r="I79" s="29"/>
      <c r="J79" s="45"/>
      <c r="K79" s="45"/>
      <c r="L79" s="29">
        <f t="shared" si="10"/>
        <v>40000</v>
      </c>
      <c r="M79" s="29"/>
      <c r="N79" s="29">
        <f t="shared" si="3"/>
        <v>40000</v>
      </c>
      <c r="O79" s="39">
        <f t="shared" si="9"/>
        <v>0</v>
      </c>
    </row>
    <row r="80" spans="1:15" ht="15.95" customHeight="1" x14ac:dyDescent="0.2">
      <c r="A80" s="42" t="s">
        <v>121</v>
      </c>
      <c r="B80" s="30" t="s">
        <v>180</v>
      </c>
      <c r="C80" s="29">
        <v>51000</v>
      </c>
      <c r="D80" s="29"/>
      <c r="E80" s="29"/>
      <c r="F80" s="45"/>
      <c r="G80" s="45"/>
      <c r="H80" s="29"/>
      <c r="I80" s="29"/>
      <c r="J80" s="45"/>
      <c r="K80" s="45"/>
      <c r="L80" s="29">
        <f t="shared" si="6"/>
        <v>51000</v>
      </c>
      <c r="M80" s="29">
        <f>55+100.4+3468.75+29477.11+820+34324.93</f>
        <v>68246.19</v>
      </c>
      <c r="N80" s="29">
        <f t="shared" si="3"/>
        <v>-17246.190000000002</v>
      </c>
      <c r="O80" s="39">
        <f t="shared" si="9"/>
        <v>1.9859086603866156E-2</v>
      </c>
    </row>
    <row r="81" spans="1:15" ht="15.95" customHeight="1" x14ac:dyDescent="0.2">
      <c r="A81" s="42"/>
      <c r="B81" s="30"/>
      <c r="C81" s="29"/>
      <c r="D81" s="29"/>
      <c r="E81" s="29"/>
      <c r="F81" s="45"/>
      <c r="G81" s="45"/>
      <c r="H81" s="29"/>
      <c r="I81" s="29"/>
      <c r="J81" s="45"/>
      <c r="K81" s="45"/>
      <c r="L81" s="29"/>
      <c r="M81" s="29"/>
      <c r="N81" s="29"/>
      <c r="O81" s="39"/>
    </row>
    <row r="82" spans="1:15" ht="15.95" customHeight="1" x14ac:dyDescent="0.2">
      <c r="A82" s="42"/>
      <c r="B82" s="30"/>
      <c r="C82" s="29"/>
      <c r="D82" s="29"/>
      <c r="E82" s="29"/>
      <c r="F82" s="45"/>
      <c r="G82" s="45"/>
      <c r="H82" s="29"/>
      <c r="I82" s="29"/>
      <c r="J82" s="45"/>
      <c r="K82" s="45"/>
      <c r="L82" s="29"/>
      <c r="M82" s="29"/>
      <c r="N82" s="29"/>
      <c r="O82" s="39"/>
    </row>
    <row r="83" spans="1:15" ht="15.95" customHeight="1" x14ac:dyDescent="0.25">
      <c r="A83" s="40">
        <v>2</v>
      </c>
      <c r="B83" s="41" t="s">
        <v>60</v>
      </c>
      <c r="C83" s="27"/>
      <c r="D83" s="29"/>
      <c r="E83" s="29"/>
      <c r="F83" s="45"/>
      <c r="G83" s="45"/>
      <c r="H83" s="29"/>
      <c r="I83" s="29"/>
      <c r="J83" s="45"/>
      <c r="K83" s="45"/>
      <c r="L83" s="29"/>
      <c r="M83" s="29"/>
      <c r="N83" s="29"/>
      <c r="O83" s="39"/>
    </row>
    <row r="84" spans="1:15" ht="15.95" customHeight="1" x14ac:dyDescent="0.2">
      <c r="A84" s="42" t="s">
        <v>122</v>
      </c>
      <c r="B84" s="30" t="s">
        <v>61</v>
      </c>
      <c r="C84" s="29">
        <v>146784.1</v>
      </c>
      <c r="D84" s="29"/>
      <c r="E84" s="29"/>
      <c r="F84" s="45"/>
      <c r="G84" s="45"/>
      <c r="H84" s="29"/>
      <c r="I84" s="29"/>
      <c r="J84" s="45"/>
      <c r="K84" s="45"/>
      <c r="L84" s="29">
        <f t="shared" ref="L84:L120" si="11">C84+D84-E84+F84-G84+H84+J84-K84</f>
        <v>146784.1</v>
      </c>
      <c r="M84" s="29">
        <f>1296.25+4358.7+1692.8+1826.15+2712.7+2435.7+13281.7+1545.3+3572.95</f>
        <v>32722.25</v>
      </c>
      <c r="N84" s="29">
        <f t="shared" si="3"/>
        <v>114061.85</v>
      </c>
      <c r="O84" s="39">
        <f t="shared" ref="O84:O120" si="12">M84/$M$139</f>
        <v>9.5219087926133213E-3</v>
      </c>
    </row>
    <row r="85" spans="1:15" ht="15.95" hidden="1" customHeight="1" x14ac:dyDescent="0.2">
      <c r="A85" s="42">
        <v>214</v>
      </c>
      <c r="B85" s="30" t="s">
        <v>192</v>
      </c>
      <c r="C85" s="29">
        <v>0</v>
      </c>
      <c r="D85" s="29"/>
      <c r="E85" s="29"/>
      <c r="F85" s="45"/>
      <c r="G85" s="45"/>
      <c r="H85" s="29"/>
      <c r="I85" s="29"/>
      <c r="J85" s="45"/>
      <c r="K85" s="45"/>
      <c r="L85" s="29">
        <f t="shared" si="11"/>
        <v>0</v>
      </c>
      <c r="M85" s="29"/>
      <c r="N85" s="29">
        <f t="shared" si="3"/>
        <v>0</v>
      </c>
      <c r="O85" s="39">
        <f t="shared" si="12"/>
        <v>0</v>
      </c>
    </row>
    <row r="86" spans="1:15" ht="15.95" customHeight="1" x14ac:dyDescent="0.2">
      <c r="A86" s="42">
        <v>223</v>
      </c>
      <c r="B86" s="30" t="s">
        <v>193</v>
      </c>
      <c r="C86" s="29">
        <v>2000</v>
      </c>
      <c r="D86" s="29"/>
      <c r="E86" s="29"/>
      <c r="F86" s="45"/>
      <c r="G86" s="45"/>
      <c r="H86" s="29"/>
      <c r="I86" s="29"/>
      <c r="J86" s="45"/>
      <c r="K86" s="45"/>
      <c r="L86" s="29">
        <f t="shared" si="11"/>
        <v>2000</v>
      </c>
      <c r="M86" s="29"/>
      <c r="N86" s="29">
        <f t="shared" si="3"/>
        <v>2000</v>
      </c>
      <c r="O86" s="39">
        <f t="shared" si="12"/>
        <v>0</v>
      </c>
    </row>
    <row r="87" spans="1:15" ht="15.95" hidden="1" customHeight="1" x14ac:dyDescent="0.2">
      <c r="A87" s="42">
        <v>229</v>
      </c>
      <c r="B87" s="30" t="s">
        <v>194</v>
      </c>
      <c r="C87" s="29">
        <v>0</v>
      </c>
      <c r="D87" s="29"/>
      <c r="E87" s="29"/>
      <c r="F87" s="45"/>
      <c r="G87" s="45"/>
      <c r="H87" s="29"/>
      <c r="I87" s="29"/>
      <c r="J87" s="45"/>
      <c r="K87" s="45"/>
      <c r="L87" s="29">
        <f t="shared" si="11"/>
        <v>0</v>
      </c>
      <c r="M87" s="29"/>
      <c r="N87" s="29">
        <f t="shared" si="3"/>
        <v>0</v>
      </c>
      <c r="O87" s="39">
        <f t="shared" si="12"/>
        <v>0</v>
      </c>
    </row>
    <row r="88" spans="1:15" ht="15.95" customHeight="1" x14ac:dyDescent="0.2">
      <c r="A88" s="42" t="s">
        <v>123</v>
      </c>
      <c r="B88" s="30" t="s">
        <v>62</v>
      </c>
      <c r="C88" s="29">
        <v>5000</v>
      </c>
      <c r="D88" s="29"/>
      <c r="E88" s="29"/>
      <c r="F88" s="45"/>
      <c r="G88" s="45"/>
      <c r="H88" s="29"/>
      <c r="I88" s="29"/>
      <c r="J88" s="45"/>
      <c r="K88" s="45"/>
      <c r="L88" s="29">
        <f t="shared" si="11"/>
        <v>5000</v>
      </c>
      <c r="M88" s="29"/>
      <c r="N88" s="29">
        <f t="shared" si="3"/>
        <v>5000</v>
      </c>
      <c r="O88" s="39">
        <f t="shared" si="12"/>
        <v>0</v>
      </c>
    </row>
    <row r="89" spans="1:15" ht="15.95" customHeight="1" x14ac:dyDescent="0.2">
      <c r="A89" s="42" t="s">
        <v>124</v>
      </c>
      <c r="B89" s="30" t="s">
        <v>63</v>
      </c>
      <c r="C89" s="29">
        <v>33800</v>
      </c>
      <c r="D89" s="29"/>
      <c r="E89" s="29"/>
      <c r="F89" s="45"/>
      <c r="G89" s="45"/>
      <c r="H89" s="29"/>
      <c r="I89" s="29"/>
      <c r="J89" s="45"/>
      <c r="K89" s="45"/>
      <c r="L89" s="29">
        <f t="shared" si="11"/>
        <v>33800</v>
      </c>
      <c r="M89" s="29">
        <f>752+10750</f>
        <v>11502</v>
      </c>
      <c r="N89" s="29">
        <f t="shared" si="3"/>
        <v>22298</v>
      </c>
      <c r="O89" s="39">
        <f t="shared" si="12"/>
        <v>3.3469885149290902E-3</v>
      </c>
    </row>
    <row r="90" spans="1:15" ht="15.95" customHeight="1" x14ac:dyDescent="0.2">
      <c r="A90" s="42" t="s">
        <v>125</v>
      </c>
      <c r="B90" s="30" t="s">
        <v>64</v>
      </c>
      <c r="C90" s="29">
        <v>5250</v>
      </c>
      <c r="D90" s="29"/>
      <c r="E90" s="29"/>
      <c r="F90" s="45"/>
      <c r="G90" s="45"/>
      <c r="H90" s="29"/>
      <c r="I90" s="29"/>
      <c r="J90" s="45"/>
      <c r="K90" s="45"/>
      <c r="L90" s="29">
        <f t="shared" ref="L90" si="13">C90+D90-E90+F90-G90+H90+J90-I90-K90</f>
        <v>5250</v>
      </c>
      <c r="M90" s="29">
        <f>485+485+485+485+359.7+583+485</f>
        <v>3367.7</v>
      </c>
      <c r="N90" s="29">
        <f t="shared" si="3"/>
        <v>1882.3000000000002</v>
      </c>
      <c r="O90" s="39">
        <f t="shared" si="12"/>
        <v>9.7997332826697055E-4</v>
      </c>
    </row>
    <row r="91" spans="1:15" ht="15.95" customHeight="1" x14ac:dyDescent="0.2">
      <c r="A91" s="42" t="s">
        <v>126</v>
      </c>
      <c r="B91" s="30" t="s">
        <v>65</v>
      </c>
      <c r="C91" s="29">
        <v>10500</v>
      </c>
      <c r="D91" s="29"/>
      <c r="E91" s="29"/>
      <c r="F91" s="45"/>
      <c r="G91" s="45"/>
      <c r="H91" s="29"/>
      <c r="I91" s="29"/>
      <c r="J91" s="45"/>
      <c r="K91" s="45"/>
      <c r="L91" s="29">
        <f t="shared" si="11"/>
        <v>10500</v>
      </c>
      <c r="M91" s="29">
        <f>906.45+36+1516.82+23.75+960.55+835.85+43.75+1103.94+23.75</f>
        <v>5450.8600000000006</v>
      </c>
      <c r="N91" s="29">
        <f t="shared" si="3"/>
        <v>5049.1399999999994</v>
      </c>
      <c r="O91" s="39">
        <f t="shared" si="12"/>
        <v>1.5861559569193516E-3</v>
      </c>
    </row>
    <row r="92" spans="1:15" ht="15.95" customHeight="1" x14ac:dyDescent="0.2">
      <c r="A92" s="42" t="s">
        <v>127</v>
      </c>
      <c r="B92" s="30" t="s">
        <v>195</v>
      </c>
      <c r="C92" s="29">
        <v>3050</v>
      </c>
      <c r="D92" s="29"/>
      <c r="E92" s="29"/>
      <c r="F92" s="45"/>
      <c r="G92" s="45"/>
      <c r="H92" s="29"/>
      <c r="I92" s="29"/>
      <c r="J92" s="45"/>
      <c r="K92" s="45"/>
      <c r="L92" s="29">
        <f t="shared" ref="L92" si="14">C92+D92-E92+F92-G92+H92+J92-I92-K92</f>
        <v>3050</v>
      </c>
      <c r="M92" s="29">
        <f>660.7+141.3+103+244.8</f>
        <v>1149.8</v>
      </c>
      <c r="N92" s="29">
        <f t="shared" si="3"/>
        <v>1900.2</v>
      </c>
      <c r="O92" s="39">
        <f t="shared" si="12"/>
        <v>3.3458245474399825E-4</v>
      </c>
    </row>
    <row r="93" spans="1:15" ht="15.95" customHeight="1" x14ac:dyDescent="0.2">
      <c r="A93" s="42" t="s">
        <v>128</v>
      </c>
      <c r="B93" s="30" t="s">
        <v>66</v>
      </c>
      <c r="C93" s="29">
        <v>875</v>
      </c>
      <c r="D93" s="29"/>
      <c r="E93" s="29"/>
      <c r="F93" s="45"/>
      <c r="G93" s="45"/>
      <c r="H93" s="29"/>
      <c r="I93" s="29"/>
      <c r="J93" s="45"/>
      <c r="K93" s="45"/>
      <c r="L93" s="29">
        <f t="shared" si="11"/>
        <v>875</v>
      </c>
      <c r="M93" s="29"/>
      <c r="N93" s="29">
        <f t="shared" si="3"/>
        <v>875</v>
      </c>
      <c r="O93" s="39">
        <f t="shared" si="12"/>
        <v>0</v>
      </c>
    </row>
    <row r="94" spans="1:15" ht="15.95" customHeight="1" x14ac:dyDescent="0.2">
      <c r="A94" s="42" t="s">
        <v>129</v>
      </c>
      <c r="B94" s="30" t="s">
        <v>196</v>
      </c>
      <c r="C94" s="29">
        <v>5500</v>
      </c>
      <c r="D94" s="29"/>
      <c r="E94" s="29"/>
      <c r="F94" s="45"/>
      <c r="G94" s="45"/>
      <c r="H94" s="29"/>
      <c r="I94" s="29"/>
      <c r="J94" s="45"/>
      <c r="K94" s="45"/>
      <c r="L94" s="29">
        <f t="shared" si="11"/>
        <v>5500</v>
      </c>
      <c r="M94" s="29"/>
      <c r="N94" s="29">
        <f t="shared" si="3"/>
        <v>5500</v>
      </c>
      <c r="O94" s="39">
        <f t="shared" si="12"/>
        <v>0</v>
      </c>
    </row>
    <row r="95" spans="1:15" ht="15.95" customHeight="1" x14ac:dyDescent="0.2">
      <c r="A95" s="42" t="s">
        <v>130</v>
      </c>
      <c r="B95" s="30" t="s">
        <v>67</v>
      </c>
      <c r="C95" s="29">
        <v>2700</v>
      </c>
      <c r="D95" s="29"/>
      <c r="E95" s="29"/>
      <c r="F95" s="45"/>
      <c r="G95" s="45"/>
      <c r="H95" s="29"/>
      <c r="I95" s="29"/>
      <c r="J95" s="45"/>
      <c r="K95" s="45"/>
      <c r="L95" s="29">
        <f t="shared" si="11"/>
        <v>2700</v>
      </c>
      <c r="M95" s="29"/>
      <c r="N95" s="29">
        <f t="shared" si="3"/>
        <v>2700</v>
      </c>
      <c r="O95" s="39">
        <f t="shared" si="12"/>
        <v>0</v>
      </c>
    </row>
    <row r="96" spans="1:15" ht="15.95" customHeight="1" x14ac:dyDescent="0.2">
      <c r="A96" s="42" t="s">
        <v>197</v>
      </c>
      <c r="B96" s="30" t="s">
        <v>198</v>
      </c>
      <c r="C96" s="29">
        <v>2800</v>
      </c>
      <c r="D96" s="29"/>
      <c r="E96" s="29"/>
      <c r="F96" s="45"/>
      <c r="G96" s="45"/>
      <c r="H96" s="29"/>
      <c r="I96" s="29"/>
      <c r="J96" s="45"/>
      <c r="K96" s="45"/>
      <c r="L96" s="29">
        <f t="shared" si="11"/>
        <v>2800</v>
      </c>
      <c r="M96" s="29">
        <f>23.5+23.5+23.5</f>
        <v>70.5</v>
      </c>
      <c r="N96" s="29">
        <f t="shared" si="3"/>
        <v>2729.5</v>
      </c>
      <c r="O96" s="39">
        <f t="shared" si="12"/>
        <v>2.0514926995522594E-5</v>
      </c>
    </row>
    <row r="97" spans="1:15" ht="15.95" customHeight="1" x14ac:dyDescent="0.2">
      <c r="A97" s="42" t="s">
        <v>131</v>
      </c>
      <c r="B97" s="30" t="s">
        <v>68</v>
      </c>
      <c r="C97" s="29">
        <v>8500</v>
      </c>
      <c r="D97" s="29"/>
      <c r="E97" s="29"/>
      <c r="F97" s="45"/>
      <c r="G97" s="45"/>
      <c r="H97" s="29"/>
      <c r="I97" s="29"/>
      <c r="J97" s="45"/>
      <c r="K97" s="45"/>
      <c r="L97" s="29">
        <f t="shared" si="11"/>
        <v>8500</v>
      </c>
      <c r="M97" s="29">
        <f>270+340.02+1364.45+745+1028.98+290.05+1492.34+1126.25+615</f>
        <v>7272.09</v>
      </c>
      <c r="N97" s="29">
        <f t="shared" si="3"/>
        <v>1227.9099999999999</v>
      </c>
      <c r="O97" s="39">
        <f t="shared" si="12"/>
        <v>2.1161190844662396E-3</v>
      </c>
    </row>
    <row r="98" spans="1:15" ht="15.95" customHeight="1" x14ac:dyDescent="0.2">
      <c r="A98" s="42" t="s">
        <v>132</v>
      </c>
      <c r="B98" s="30" t="s">
        <v>199</v>
      </c>
      <c r="C98" s="29">
        <v>6000</v>
      </c>
      <c r="D98" s="29"/>
      <c r="E98" s="29"/>
      <c r="F98" s="45"/>
      <c r="G98" s="45"/>
      <c r="H98" s="29"/>
      <c r="I98" s="29"/>
      <c r="J98" s="45"/>
      <c r="K98" s="45"/>
      <c r="L98" s="29">
        <f t="shared" si="11"/>
        <v>6000</v>
      </c>
      <c r="M98" s="29"/>
      <c r="N98" s="29">
        <f t="shared" si="3"/>
        <v>6000</v>
      </c>
      <c r="O98" s="39">
        <f t="shared" si="12"/>
        <v>0</v>
      </c>
    </row>
    <row r="99" spans="1:15" ht="15.95" customHeight="1" x14ac:dyDescent="0.2">
      <c r="A99" s="42" t="s">
        <v>133</v>
      </c>
      <c r="B99" s="30" t="s">
        <v>69</v>
      </c>
      <c r="C99" s="29">
        <v>17500</v>
      </c>
      <c r="D99" s="29"/>
      <c r="E99" s="29"/>
      <c r="F99" s="45"/>
      <c r="G99" s="45"/>
      <c r="H99" s="29"/>
      <c r="I99" s="29"/>
      <c r="J99" s="45"/>
      <c r="K99" s="45"/>
      <c r="L99" s="29">
        <f t="shared" si="11"/>
        <v>17500</v>
      </c>
      <c r="M99" s="29">
        <f>862.5+340+218.4+362+940.4+218.4</f>
        <v>2941.7000000000003</v>
      </c>
      <c r="N99" s="29">
        <f t="shared" si="3"/>
        <v>14558.3</v>
      </c>
      <c r="O99" s="39">
        <f t="shared" si="12"/>
        <v>8.5601079067700449E-4</v>
      </c>
    </row>
    <row r="100" spans="1:15" ht="15.95" customHeight="1" x14ac:dyDescent="0.2">
      <c r="A100" s="42" t="s">
        <v>134</v>
      </c>
      <c r="B100" s="30" t="s">
        <v>200</v>
      </c>
      <c r="C100" s="29">
        <v>3000</v>
      </c>
      <c r="D100" s="29"/>
      <c r="E100" s="29"/>
      <c r="F100" s="45"/>
      <c r="G100" s="45"/>
      <c r="H100" s="29"/>
      <c r="I100" s="29"/>
      <c r="J100" s="45"/>
      <c r="K100" s="45"/>
      <c r="L100" s="29">
        <f t="shared" si="11"/>
        <v>3000</v>
      </c>
      <c r="M100" s="29">
        <f>67.75+182.63+3.55+237.64+423.48+1967.44+332.62+113.8</f>
        <v>3328.91</v>
      </c>
      <c r="N100" s="29">
        <f t="shared" si="3"/>
        <v>-328.90999999999985</v>
      </c>
      <c r="O100" s="39">
        <f t="shared" si="12"/>
        <v>9.6868575354134906E-4</v>
      </c>
    </row>
    <row r="101" spans="1:15" ht="15.95" customHeight="1" x14ac:dyDescent="0.2">
      <c r="A101" s="42" t="s">
        <v>135</v>
      </c>
      <c r="B101" s="30" t="s">
        <v>201</v>
      </c>
      <c r="C101" s="29">
        <v>1500</v>
      </c>
      <c r="D101" s="29"/>
      <c r="E101" s="29"/>
      <c r="F101" s="45"/>
      <c r="G101" s="45"/>
      <c r="H101" s="29"/>
      <c r="I101" s="29"/>
      <c r="J101" s="45"/>
      <c r="K101" s="45"/>
      <c r="L101" s="29">
        <f t="shared" si="11"/>
        <v>1500</v>
      </c>
      <c r="M101" s="29">
        <f>158+488</f>
        <v>646</v>
      </c>
      <c r="N101" s="29">
        <f t="shared" ref="N101:N138" si="15">L101-M101</f>
        <v>854</v>
      </c>
      <c r="O101" s="39">
        <f t="shared" si="12"/>
        <v>1.8798074949088786E-4</v>
      </c>
    </row>
    <row r="102" spans="1:15" ht="15.95" customHeight="1" x14ac:dyDescent="0.2">
      <c r="A102" s="42" t="s">
        <v>136</v>
      </c>
      <c r="B102" s="30" t="s">
        <v>70</v>
      </c>
      <c r="C102" s="29">
        <v>331653.08</v>
      </c>
      <c r="D102" s="29"/>
      <c r="E102" s="29"/>
      <c r="F102" s="45">
        <v>268346.92</v>
      </c>
      <c r="G102" s="45"/>
      <c r="H102" s="29"/>
      <c r="I102" s="29"/>
      <c r="J102" s="45"/>
      <c r="K102" s="45"/>
      <c r="L102" s="29">
        <f t="shared" si="11"/>
        <v>600000</v>
      </c>
      <c r="M102" s="29">
        <f>203220.76+86151.08</f>
        <v>289371.84000000003</v>
      </c>
      <c r="N102" s="29">
        <f t="shared" si="15"/>
        <v>310628.15999999997</v>
      </c>
      <c r="O102" s="39">
        <f t="shared" si="12"/>
        <v>8.4204853505816232E-2</v>
      </c>
    </row>
    <row r="103" spans="1:15" ht="15.95" hidden="1" customHeight="1" x14ac:dyDescent="0.2">
      <c r="A103" s="42">
        <v>272</v>
      </c>
      <c r="B103" s="30" t="s">
        <v>202</v>
      </c>
      <c r="C103" s="29">
        <v>0</v>
      </c>
      <c r="D103" s="29"/>
      <c r="E103" s="29"/>
      <c r="F103" s="45"/>
      <c r="G103" s="45"/>
      <c r="H103" s="29"/>
      <c r="I103" s="29"/>
      <c r="J103" s="45"/>
      <c r="K103" s="45"/>
      <c r="L103" s="29">
        <f t="shared" si="11"/>
        <v>0</v>
      </c>
      <c r="M103" s="29"/>
      <c r="N103" s="29">
        <f t="shared" si="15"/>
        <v>0</v>
      </c>
      <c r="O103" s="39">
        <f t="shared" si="12"/>
        <v>0</v>
      </c>
    </row>
    <row r="104" spans="1:15" ht="15.95" hidden="1" customHeight="1" x14ac:dyDescent="0.2">
      <c r="A104" s="42" t="s">
        <v>137</v>
      </c>
      <c r="B104" s="30" t="s">
        <v>203</v>
      </c>
      <c r="C104" s="29">
        <v>0</v>
      </c>
      <c r="D104" s="29"/>
      <c r="E104" s="29"/>
      <c r="F104" s="45"/>
      <c r="G104" s="45"/>
      <c r="H104" s="29"/>
      <c r="I104" s="29"/>
      <c r="J104" s="45"/>
      <c r="K104" s="45"/>
      <c r="L104" s="29">
        <f t="shared" si="11"/>
        <v>0</v>
      </c>
      <c r="M104" s="29"/>
      <c r="N104" s="29">
        <f t="shared" si="15"/>
        <v>0</v>
      </c>
      <c r="O104" s="39">
        <f t="shared" si="12"/>
        <v>0</v>
      </c>
    </row>
    <row r="105" spans="1:15" ht="15.95" customHeight="1" x14ac:dyDescent="0.2">
      <c r="A105" s="42">
        <v>274</v>
      </c>
      <c r="B105" s="30" t="s">
        <v>71</v>
      </c>
      <c r="C105" s="29">
        <v>1500</v>
      </c>
      <c r="D105" s="29"/>
      <c r="E105" s="29"/>
      <c r="F105" s="45"/>
      <c r="G105" s="45"/>
      <c r="H105" s="29"/>
      <c r="I105" s="29"/>
      <c r="J105" s="45"/>
      <c r="K105" s="45"/>
      <c r="L105" s="29">
        <f t="shared" si="11"/>
        <v>1500</v>
      </c>
      <c r="M105" s="29"/>
      <c r="N105" s="29">
        <f t="shared" si="15"/>
        <v>1500</v>
      </c>
      <c r="O105" s="39">
        <f t="shared" si="12"/>
        <v>0</v>
      </c>
    </row>
    <row r="106" spans="1:15" ht="15.95" hidden="1" customHeight="1" x14ac:dyDescent="0.2">
      <c r="A106" s="42">
        <v>275</v>
      </c>
      <c r="B106" s="30" t="s">
        <v>204</v>
      </c>
      <c r="C106" s="29">
        <v>0</v>
      </c>
      <c r="D106" s="29"/>
      <c r="E106" s="29"/>
      <c r="F106" s="45"/>
      <c r="G106" s="45"/>
      <c r="H106" s="29"/>
      <c r="I106" s="29"/>
      <c r="J106" s="45"/>
      <c r="K106" s="45"/>
      <c r="L106" s="29">
        <f t="shared" si="11"/>
        <v>0</v>
      </c>
      <c r="M106" s="29"/>
      <c r="N106" s="29">
        <f t="shared" si="15"/>
        <v>0</v>
      </c>
      <c r="O106" s="39">
        <f t="shared" si="12"/>
        <v>0</v>
      </c>
    </row>
    <row r="107" spans="1:15" ht="15.95" customHeight="1" x14ac:dyDescent="0.2">
      <c r="A107" s="42">
        <v>279</v>
      </c>
      <c r="B107" s="30" t="s">
        <v>205</v>
      </c>
      <c r="C107" s="29">
        <v>750</v>
      </c>
      <c r="D107" s="29"/>
      <c r="E107" s="29"/>
      <c r="F107" s="45"/>
      <c r="G107" s="45"/>
      <c r="H107" s="29"/>
      <c r="I107" s="29"/>
      <c r="J107" s="45"/>
      <c r="K107" s="45"/>
      <c r="L107" s="29">
        <f t="shared" si="11"/>
        <v>750</v>
      </c>
      <c r="M107" s="29"/>
      <c r="N107" s="29">
        <f t="shared" si="15"/>
        <v>750</v>
      </c>
      <c r="O107" s="39">
        <f t="shared" si="12"/>
        <v>0</v>
      </c>
    </row>
    <row r="108" spans="1:15" ht="15.95" hidden="1" customHeight="1" x14ac:dyDescent="0.2">
      <c r="A108" s="42">
        <v>281</v>
      </c>
      <c r="B108" s="30" t="s">
        <v>206</v>
      </c>
      <c r="C108" s="29">
        <v>0</v>
      </c>
      <c r="D108" s="29"/>
      <c r="E108" s="29"/>
      <c r="F108" s="45"/>
      <c r="G108" s="45"/>
      <c r="H108" s="29"/>
      <c r="I108" s="29"/>
      <c r="J108" s="45"/>
      <c r="K108" s="45"/>
      <c r="L108" s="29">
        <f t="shared" si="11"/>
        <v>0</v>
      </c>
      <c r="M108" s="29"/>
      <c r="N108" s="29">
        <f t="shared" si="15"/>
        <v>0</v>
      </c>
      <c r="O108" s="39">
        <f t="shared" si="12"/>
        <v>0</v>
      </c>
    </row>
    <row r="109" spans="1:15" ht="15.95" customHeight="1" x14ac:dyDescent="0.2">
      <c r="A109" s="42" t="s">
        <v>138</v>
      </c>
      <c r="B109" s="30" t="s">
        <v>207</v>
      </c>
      <c r="C109" s="29">
        <v>4800</v>
      </c>
      <c r="D109" s="29"/>
      <c r="E109" s="29"/>
      <c r="F109" s="45"/>
      <c r="G109" s="45"/>
      <c r="H109" s="29"/>
      <c r="I109" s="29"/>
      <c r="J109" s="45"/>
      <c r="K109" s="45"/>
      <c r="L109" s="29">
        <f t="shared" si="11"/>
        <v>4800</v>
      </c>
      <c r="M109" s="29">
        <f>16.52+71.1+1324.95+68</f>
        <v>1480.57</v>
      </c>
      <c r="N109" s="29">
        <f t="shared" si="15"/>
        <v>3319.4300000000003</v>
      </c>
      <c r="O109" s="39">
        <f t="shared" si="12"/>
        <v>4.3083383633703379E-4</v>
      </c>
    </row>
    <row r="110" spans="1:15" ht="15.95" customHeight="1" x14ac:dyDescent="0.2">
      <c r="A110" s="42" t="s">
        <v>139</v>
      </c>
      <c r="B110" s="30" t="s">
        <v>72</v>
      </c>
      <c r="C110" s="29">
        <v>28800</v>
      </c>
      <c r="D110" s="29"/>
      <c r="E110" s="29"/>
      <c r="F110" s="45"/>
      <c r="G110" s="45"/>
      <c r="H110" s="29"/>
      <c r="I110" s="29"/>
      <c r="J110" s="45"/>
      <c r="K110" s="45"/>
      <c r="L110" s="29">
        <f t="shared" si="11"/>
        <v>28800</v>
      </c>
      <c r="M110" s="29"/>
      <c r="N110" s="29">
        <f t="shared" si="15"/>
        <v>28800</v>
      </c>
      <c r="O110" s="39">
        <f t="shared" si="12"/>
        <v>0</v>
      </c>
    </row>
    <row r="111" spans="1:15" ht="15.95" customHeight="1" x14ac:dyDescent="0.2">
      <c r="A111" s="42" t="s">
        <v>140</v>
      </c>
      <c r="B111" s="30" t="s">
        <v>73</v>
      </c>
      <c r="C111" s="29">
        <v>1150000</v>
      </c>
      <c r="D111" s="29"/>
      <c r="E111" s="29"/>
      <c r="F111" s="45">
        <v>150000</v>
      </c>
      <c r="G111" s="45"/>
      <c r="H111" s="29"/>
      <c r="I111" s="29"/>
      <c r="J111" s="45"/>
      <c r="K111" s="45"/>
      <c r="L111" s="29">
        <f>C111+D111-E111+F111-G111+H111+J111-I111-K111</f>
        <v>1300000</v>
      </c>
      <c r="M111" s="29">
        <f>73800+13360</f>
        <v>87160</v>
      </c>
      <c r="N111" s="29">
        <f t="shared" si="15"/>
        <v>1212840</v>
      </c>
      <c r="O111" s="39">
        <f t="shared" si="12"/>
        <v>2.5362851587656016E-2</v>
      </c>
    </row>
    <row r="112" spans="1:15" ht="15.95" customHeight="1" x14ac:dyDescent="0.2">
      <c r="A112" s="42">
        <v>286</v>
      </c>
      <c r="B112" s="30" t="s">
        <v>208</v>
      </c>
      <c r="C112" s="29">
        <v>1500</v>
      </c>
      <c r="D112" s="29"/>
      <c r="E112" s="29"/>
      <c r="F112" s="45"/>
      <c r="G112" s="45"/>
      <c r="H112" s="29"/>
      <c r="I112" s="29"/>
      <c r="J112" s="45"/>
      <c r="K112" s="45"/>
      <c r="L112" s="29">
        <f t="shared" si="11"/>
        <v>1500</v>
      </c>
      <c r="M112" s="29">
        <f>75+59+201.5+465.64</f>
        <v>801.14</v>
      </c>
      <c r="N112" s="29">
        <f t="shared" si="15"/>
        <v>698.86</v>
      </c>
      <c r="O112" s="39">
        <f t="shared" si="12"/>
        <v>2.3312522855592865E-4</v>
      </c>
    </row>
    <row r="113" spans="1:15" ht="15.95" hidden="1" customHeight="1" x14ac:dyDescent="0.2">
      <c r="A113" s="42">
        <v>289</v>
      </c>
      <c r="B113" s="30" t="s">
        <v>209</v>
      </c>
      <c r="C113" s="29">
        <v>0</v>
      </c>
      <c r="D113" s="29"/>
      <c r="E113" s="29"/>
      <c r="F113" s="45"/>
      <c r="G113" s="45"/>
      <c r="H113" s="29"/>
      <c r="I113" s="29"/>
      <c r="J113" s="45"/>
      <c r="K113" s="45"/>
      <c r="L113" s="29">
        <f t="shared" si="11"/>
        <v>0</v>
      </c>
      <c r="M113" s="29"/>
      <c r="N113" s="29">
        <f t="shared" si="15"/>
        <v>0</v>
      </c>
      <c r="O113" s="39">
        <f t="shared" si="12"/>
        <v>0</v>
      </c>
    </row>
    <row r="114" spans="1:15" ht="15.95" customHeight="1" x14ac:dyDescent="0.2">
      <c r="A114" s="42" t="s">
        <v>141</v>
      </c>
      <c r="B114" s="30" t="s">
        <v>74</v>
      </c>
      <c r="C114" s="29">
        <v>6600</v>
      </c>
      <c r="D114" s="29"/>
      <c r="E114" s="29"/>
      <c r="F114" s="45"/>
      <c r="G114" s="45"/>
      <c r="H114" s="29"/>
      <c r="I114" s="29"/>
      <c r="J114" s="45"/>
      <c r="K114" s="45"/>
      <c r="L114" s="29">
        <f t="shared" si="11"/>
        <v>6600</v>
      </c>
      <c r="M114" s="29">
        <f>72.75+278.7+70.45+304+137.25+125.2+826.3+108.3</f>
        <v>1922.95</v>
      </c>
      <c r="N114" s="29">
        <f t="shared" si="15"/>
        <v>4677.05</v>
      </c>
      <c r="O114" s="39">
        <f t="shared" si="12"/>
        <v>5.5956282079489602E-4</v>
      </c>
    </row>
    <row r="115" spans="1:15" ht="15.95" customHeight="1" x14ac:dyDescent="0.2">
      <c r="A115" s="42" t="s">
        <v>142</v>
      </c>
      <c r="B115" s="30" t="s">
        <v>210</v>
      </c>
      <c r="C115" s="29">
        <v>4000</v>
      </c>
      <c r="D115" s="29"/>
      <c r="E115" s="29"/>
      <c r="F115" s="45"/>
      <c r="G115" s="45"/>
      <c r="H115" s="29"/>
      <c r="I115" s="29"/>
      <c r="J115" s="45"/>
      <c r="K115" s="45"/>
      <c r="L115" s="29">
        <f t="shared" si="11"/>
        <v>4000</v>
      </c>
      <c r="M115" s="29">
        <f>54.99+178.05+82.2+61.98+62.8+573.25+320.78+184.85</f>
        <v>1518.8999999999999</v>
      </c>
      <c r="N115" s="29">
        <f t="shared" si="15"/>
        <v>2481.1000000000004</v>
      </c>
      <c r="O115" s="39">
        <f t="shared" si="12"/>
        <v>4.4198755480140796E-4</v>
      </c>
    </row>
    <row r="116" spans="1:15" ht="15.95" customHeight="1" x14ac:dyDescent="0.2">
      <c r="A116" s="42" t="s">
        <v>143</v>
      </c>
      <c r="B116" s="30" t="s">
        <v>75</v>
      </c>
      <c r="C116" s="29">
        <v>25251.9</v>
      </c>
      <c r="D116" s="29"/>
      <c r="E116" s="29"/>
      <c r="F116" s="45"/>
      <c r="G116" s="45"/>
      <c r="H116" s="29"/>
      <c r="I116" s="29"/>
      <c r="J116" s="45"/>
      <c r="K116" s="45"/>
      <c r="L116" s="29">
        <f t="shared" si="11"/>
        <v>25251.9</v>
      </c>
      <c r="M116" s="29">
        <v>345</v>
      </c>
      <c r="N116" s="29">
        <f t="shared" si="15"/>
        <v>24906.9</v>
      </c>
      <c r="O116" s="39">
        <f t="shared" si="12"/>
        <v>1.0039219593553609E-4</v>
      </c>
    </row>
    <row r="117" spans="1:15" ht="15.95" customHeight="1" x14ac:dyDescent="0.2">
      <c r="A117" s="42" t="s">
        <v>144</v>
      </c>
      <c r="B117" s="30" t="s">
        <v>76</v>
      </c>
      <c r="C117" s="29">
        <v>2000</v>
      </c>
      <c r="D117" s="29"/>
      <c r="E117" s="29"/>
      <c r="F117" s="45"/>
      <c r="G117" s="45"/>
      <c r="H117" s="29"/>
      <c r="I117" s="29"/>
      <c r="J117" s="45"/>
      <c r="K117" s="45"/>
      <c r="L117" s="29">
        <f t="shared" si="11"/>
        <v>2000</v>
      </c>
      <c r="M117" s="29">
        <f>753.25+778.43</f>
        <v>1531.6799999999998</v>
      </c>
      <c r="N117" s="29">
        <f t="shared" si="15"/>
        <v>468.32000000000016</v>
      </c>
      <c r="O117" s="39">
        <f t="shared" si="12"/>
        <v>4.4570643092910694E-4</v>
      </c>
    </row>
    <row r="118" spans="1:15" ht="15.95" customHeight="1" x14ac:dyDescent="0.2">
      <c r="A118" s="42" t="s">
        <v>145</v>
      </c>
      <c r="B118" s="30" t="s">
        <v>211</v>
      </c>
      <c r="C118" s="29">
        <v>9500</v>
      </c>
      <c r="D118" s="29"/>
      <c r="E118" s="29"/>
      <c r="F118" s="45"/>
      <c r="G118" s="45"/>
      <c r="H118" s="29"/>
      <c r="I118" s="29"/>
      <c r="J118" s="45"/>
      <c r="K118" s="45"/>
      <c r="L118" s="29">
        <f t="shared" si="11"/>
        <v>9500</v>
      </c>
      <c r="M118" s="29">
        <f>45.7+130</f>
        <v>175.7</v>
      </c>
      <c r="N118" s="29">
        <f t="shared" si="15"/>
        <v>9324.2999999999993</v>
      </c>
      <c r="O118" s="39">
        <f t="shared" si="12"/>
        <v>5.1127271959054174E-5</v>
      </c>
    </row>
    <row r="119" spans="1:15" ht="15.95" customHeight="1" x14ac:dyDescent="0.2">
      <c r="A119" s="42" t="s">
        <v>146</v>
      </c>
      <c r="B119" s="30" t="s">
        <v>77</v>
      </c>
      <c r="C119" s="29">
        <v>76000</v>
      </c>
      <c r="D119" s="29"/>
      <c r="E119" s="29"/>
      <c r="F119" s="45">
        <v>24000</v>
      </c>
      <c r="G119" s="45"/>
      <c r="H119" s="29"/>
      <c r="I119" s="29"/>
      <c r="J119" s="45"/>
      <c r="K119" s="45"/>
      <c r="L119" s="29">
        <f t="shared" si="11"/>
        <v>100000</v>
      </c>
      <c r="M119" s="29">
        <f>145+21234.9</f>
        <v>21379.9</v>
      </c>
      <c r="N119" s="29">
        <f t="shared" si="15"/>
        <v>78620.100000000006</v>
      </c>
      <c r="O119" s="39">
        <f t="shared" si="12"/>
        <v>6.221377130093241E-3</v>
      </c>
    </row>
    <row r="120" spans="1:15" ht="15.95" customHeight="1" x14ac:dyDescent="0.2">
      <c r="A120" s="42" t="s">
        <v>147</v>
      </c>
      <c r="B120" s="30" t="s">
        <v>78</v>
      </c>
      <c r="C120" s="29">
        <v>9500</v>
      </c>
      <c r="D120" s="29"/>
      <c r="E120" s="29"/>
      <c r="F120" s="45"/>
      <c r="G120" s="45"/>
      <c r="H120" s="29"/>
      <c r="I120" s="29"/>
      <c r="J120" s="45"/>
      <c r="K120" s="45"/>
      <c r="L120" s="29">
        <f t="shared" si="11"/>
        <v>9500</v>
      </c>
      <c r="M120" s="29">
        <f>42+186.6+322.03+426.75+171.8+295</f>
        <v>1444.18</v>
      </c>
      <c r="N120" s="29">
        <f t="shared" si="15"/>
        <v>8055.82</v>
      </c>
      <c r="O120" s="39">
        <f t="shared" si="12"/>
        <v>4.2024464210487687E-4</v>
      </c>
    </row>
    <row r="121" spans="1:15" ht="15.95" customHeight="1" x14ac:dyDescent="0.2">
      <c r="A121" s="42"/>
      <c r="B121" s="30"/>
      <c r="C121" s="29"/>
      <c r="D121" s="29"/>
      <c r="E121" s="29"/>
      <c r="F121" s="45"/>
      <c r="G121" s="45"/>
      <c r="H121" s="29"/>
      <c r="I121" s="29"/>
      <c r="J121" s="45"/>
      <c r="K121" s="45"/>
      <c r="L121" s="29"/>
      <c r="M121" s="29"/>
      <c r="N121" s="29"/>
      <c r="O121" s="39"/>
    </row>
    <row r="122" spans="1:15" ht="15.95" customHeight="1" x14ac:dyDescent="0.2">
      <c r="A122" s="42"/>
      <c r="B122" s="30"/>
      <c r="C122" s="29"/>
      <c r="D122" s="29"/>
      <c r="E122" s="29"/>
      <c r="F122" s="45"/>
      <c r="G122" s="45"/>
      <c r="H122" s="29"/>
      <c r="I122" s="29"/>
      <c r="J122" s="45"/>
      <c r="K122" s="45"/>
      <c r="L122" s="29"/>
      <c r="M122" s="29"/>
      <c r="N122" s="29"/>
      <c r="O122" s="39"/>
    </row>
    <row r="123" spans="1:15" ht="15.95" customHeight="1" x14ac:dyDescent="0.2">
      <c r="A123" s="42"/>
      <c r="B123" s="30"/>
      <c r="C123" s="29"/>
      <c r="D123" s="29"/>
      <c r="E123" s="29"/>
      <c r="F123" s="45"/>
      <c r="G123" s="45"/>
      <c r="H123" s="29"/>
      <c r="I123" s="29"/>
      <c r="J123" s="45"/>
      <c r="K123" s="45"/>
      <c r="L123" s="29"/>
      <c r="M123" s="29"/>
      <c r="N123" s="29"/>
      <c r="O123" s="39"/>
    </row>
    <row r="124" spans="1:15" ht="15.95" customHeight="1" x14ac:dyDescent="0.25">
      <c r="A124" s="40">
        <v>3</v>
      </c>
      <c r="B124" s="41" t="s">
        <v>79</v>
      </c>
      <c r="C124" s="27"/>
      <c r="D124" s="29"/>
      <c r="E124" s="29"/>
      <c r="F124" s="45"/>
      <c r="G124" s="45"/>
      <c r="H124" s="29"/>
      <c r="I124" s="29"/>
      <c r="J124" s="45"/>
      <c r="K124" s="45"/>
      <c r="L124" s="29"/>
      <c r="M124" s="29"/>
      <c r="N124" s="29"/>
      <c r="O124" s="39"/>
    </row>
    <row r="125" spans="1:15" ht="15.95" customHeight="1" x14ac:dyDescent="0.2">
      <c r="A125" s="43" t="s">
        <v>212</v>
      </c>
      <c r="B125" s="44" t="s">
        <v>213</v>
      </c>
      <c r="C125" s="45">
        <v>10000</v>
      </c>
      <c r="D125" s="29"/>
      <c r="E125" s="29"/>
      <c r="F125" s="45"/>
      <c r="G125" s="45"/>
      <c r="H125" s="29"/>
      <c r="I125" s="29"/>
      <c r="J125" s="45"/>
      <c r="K125" s="45"/>
      <c r="L125" s="29">
        <f t="shared" ref="L125:L130" si="16">C125+D125-E125+F125-G125+H125+J125-K125</f>
        <v>10000</v>
      </c>
      <c r="M125" s="29">
        <v>2999.4</v>
      </c>
      <c r="N125" s="29">
        <f t="shared" si="15"/>
        <v>7000.6</v>
      </c>
      <c r="O125" s="39">
        <f>M125/$M$139</f>
        <v>8.7280102170738251E-4</v>
      </c>
    </row>
    <row r="126" spans="1:15" ht="15.95" hidden="1" customHeight="1" x14ac:dyDescent="0.2">
      <c r="A126" s="43" t="s">
        <v>80</v>
      </c>
      <c r="B126" s="44" t="s">
        <v>214</v>
      </c>
      <c r="C126" s="45">
        <v>0</v>
      </c>
      <c r="D126" s="29"/>
      <c r="E126" s="29"/>
      <c r="F126" s="45"/>
      <c r="G126" s="45"/>
      <c r="H126" s="29"/>
      <c r="I126" s="29"/>
      <c r="J126" s="45"/>
      <c r="K126" s="45"/>
      <c r="L126" s="29">
        <f t="shared" si="16"/>
        <v>0</v>
      </c>
      <c r="M126" s="29"/>
      <c r="N126" s="29">
        <f t="shared" si="15"/>
        <v>0</v>
      </c>
      <c r="O126" s="39">
        <f>M126/$M$139</f>
        <v>0</v>
      </c>
    </row>
    <row r="127" spans="1:15" ht="15.95" customHeight="1" x14ac:dyDescent="0.2">
      <c r="A127" s="43" t="s">
        <v>215</v>
      </c>
      <c r="B127" s="44" t="s">
        <v>216</v>
      </c>
      <c r="C127" s="45">
        <v>304035</v>
      </c>
      <c r="D127" s="29"/>
      <c r="E127" s="29"/>
      <c r="F127" s="45"/>
      <c r="G127" s="45"/>
      <c r="H127" s="29"/>
      <c r="I127" s="29"/>
      <c r="J127" s="45"/>
      <c r="K127" s="45"/>
      <c r="L127" s="29">
        <f t="shared" si="16"/>
        <v>304035</v>
      </c>
      <c r="M127" s="29">
        <v>40403.9</v>
      </c>
      <c r="N127" s="29">
        <f t="shared" si="15"/>
        <v>263631.09999999998</v>
      </c>
      <c r="O127" s="39">
        <f>M127/$M$139</f>
        <v>1.1757206508289295E-2</v>
      </c>
    </row>
    <row r="128" spans="1:15" ht="15.95" customHeight="1" x14ac:dyDescent="0.2">
      <c r="A128" s="43" t="s">
        <v>217</v>
      </c>
      <c r="B128" s="44" t="s">
        <v>218</v>
      </c>
      <c r="C128" s="45">
        <v>1500</v>
      </c>
      <c r="D128" s="29"/>
      <c r="E128" s="29"/>
      <c r="F128" s="45"/>
      <c r="G128" s="45"/>
      <c r="H128" s="29"/>
      <c r="I128" s="29"/>
      <c r="J128" s="45"/>
      <c r="K128" s="45"/>
      <c r="L128" s="29">
        <f t="shared" si="16"/>
        <v>1500</v>
      </c>
      <c r="M128" s="29"/>
      <c r="N128" s="29">
        <f t="shared" si="15"/>
        <v>1500</v>
      </c>
      <c r="O128" s="39">
        <f>M128/$M$139</f>
        <v>0</v>
      </c>
    </row>
    <row r="129" spans="1:15" ht="15.95" customHeight="1" x14ac:dyDescent="0.2">
      <c r="A129" s="43">
        <v>328</v>
      </c>
      <c r="B129" s="44" t="s">
        <v>236</v>
      </c>
      <c r="C129" s="45">
        <v>40000</v>
      </c>
      <c r="D129" s="29"/>
      <c r="E129" s="29"/>
      <c r="F129" s="45"/>
      <c r="G129" s="45"/>
      <c r="H129" s="29"/>
      <c r="I129" s="29"/>
      <c r="J129" s="45"/>
      <c r="K129" s="45"/>
      <c r="L129" s="29">
        <f t="shared" si="16"/>
        <v>40000</v>
      </c>
      <c r="M129" s="29">
        <f>645+23097</f>
        <v>23742</v>
      </c>
      <c r="N129" s="29">
        <f t="shared" si="15"/>
        <v>16258</v>
      </c>
      <c r="O129" s="39">
        <f>+M129/M139</f>
        <v>6.9087290315985447E-3</v>
      </c>
    </row>
    <row r="130" spans="1:15" ht="15.95" customHeight="1" x14ac:dyDescent="0.2">
      <c r="A130" s="43" t="s">
        <v>219</v>
      </c>
      <c r="B130" s="44" t="s">
        <v>220</v>
      </c>
      <c r="C130" s="45">
        <v>14300</v>
      </c>
      <c r="D130" s="29"/>
      <c r="E130" s="29"/>
      <c r="F130" s="45"/>
      <c r="G130" s="45"/>
      <c r="H130" s="29"/>
      <c r="I130" s="29"/>
      <c r="J130" s="45"/>
      <c r="K130" s="45"/>
      <c r="L130" s="29">
        <f t="shared" si="16"/>
        <v>14300</v>
      </c>
      <c r="M130" s="29"/>
      <c r="N130" s="29">
        <f t="shared" si="15"/>
        <v>14300</v>
      </c>
      <c r="O130" s="39">
        <f>M130/$M$139</f>
        <v>0</v>
      </c>
    </row>
    <row r="131" spans="1:15" ht="15.95" hidden="1" customHeight="1" x14ac:dyDescent="0.2">
      <c r="A131" s="43" t="s">
        <v>221</v>
      </c>
      <c r="B131" s="44" t="s">
        <v>222</v>
      </c>
      <c r="C131" s="45">
        <v>0</v>
      </c>
      <c r="D131" s="29"/>
      <c r="E131" s="29"/>
      <c r="F131" s="45"/>
      <c r="G131" s="45"/>
      <c r="H131" s="29"/>
      <c r="I131" s="29"/>
      <c r="J131" s="45"/>
      <c r="K131" s="45"/>
      <c r="L131" s="29">
        <f t="shared" ref="L131" si="17">C131+D131-E131+F131-G131+J131-K131</f>
        <v>0</v>
      </c>
      <c r="M131" s="29"/>
      <c r="N131" s="29">
        <f t="shared" si="15"/>
        <v>0</v>
      </c>
      <c r="O131" s="39">
        <f>M131/$M$139</f>
        <v>0</v>
      </c>
    </row>
    <row r="132" spans="1:15" ht="15.95" customHeight="1" x14ac:dyDescent="0.2">
      <c r="A132" s="43"/>
      <c r="B132" s="44"/>
      <c r="C132" s="45"/>
      <c r="D132" s="29"/>
      <c r="E132" s="29"/>
      <c r="F132" s="45"/>
      <c r="G132" s="45"/>
      <c r="H132" s="29"/>
      <c r="I132" s="29"/>
      <c r="J132" s="45"/>
      <c r="K132" s="45"/>
      <c r="L132" s="29"/>
      <c r="M132" s="29"/>
      <c r="N132" s="29"/>
      <c r="O132" s="39"/>
    </row>
    <row r="133" spans="1:15" ht="15.95" customHeight="1" x14ac:dyDescent="0.2">
      <c r="A133" s="42"/>
      <c r="B133" s="30"/>
      <c r="C133" s="29"/>
      <c r="D133" s="29"/>
      <c r="E133" s="29"/>
      <c r="F133" s="45"/>
      <c r="G133" s="45"/>
      <c r="H133" s="29"/>
      <c r="I133" s="29"/>
      <c r="J133" s="45"/>
      <c r="K133" s="45"/>
      <c r="L133" s="29"/>
      <c r="M133" s="29"/>
      <c r="N133" s="29"/>
      <c r="O133" s="39"/>
    </row>
    <row r="134" spans="1:15" ht="15.95" customHeight="1" x14ac:dyDescent="0.25">
      <c r="A134" s="40">
        <v>4</v>
      </c>
      <c r="B134" s="41" t="s">
        <v>81</v>
      </c>
      <c r="C134" s="27"/>
      <c r="D134" s="29"/>
      <c r="E134" s="29"/>
      <c r="F134" s="45"/>
      <c r="G134" s="45"/>
      <c r="H134" s="29"/>
      <c r="I134" s="29"/>
      <c r="J134" s="45"/>
      <c r="K134" s="45"/>
      <c r="L134" s="29"/>
      <c r="M134" s="29"/>
      <c r="N134" s="29"/>
      <c r="O134" s="39"/>
    </row>
    <row r="135" spans="1:15" ht="15.95" customHeight="1" x14ac:dyDescent="0.2">
      <c r="A135" s="42" t="s">
        <v>223</v>
      </c>
      <c r="B135" s="30" t="s">
        <v>82</v>
      </c>
      <c r="C135" s="29">
        <v>185900</v>
      </c>
      <c r="D135" s="29"/>
      <c r="E135" s="29"/>
      <c r="F135" s="45"/>
      <c r="G135" s="45"/>
      <c r="H135" s="29"/>
      <c r="I135" s="29"/>
      <c r="J135" s="45"/>
      <c r="K135" s="45"/>
      <c r="L135" s="29">
        <f t="shared" ref="L135:L136" si="18">C135+D135-E135+F135-G135+H135+J135-K135</f>
        <v>185900</v>
      </c>
      <c r="M135" s="29">
        <v>1036.46</v>
      </c>
      <c r="N135" s="29">
        <f t="shared" si="15"/>
        <v>184863.54</v>
      </c>
      <c r="O135" s="39">
        <f>M135/$M$139</f>
        <v>3.016014359401326E-4</v>
      </c>
    </row>
    <row r="136" spans="1:15" ht="15.95" customHeight="1" x14ac:dyDescent="0.2">
      <c r="A136" s="42" t="s">
        <v>224</v>
      </c>
      <c r="B136" s="30" t="s">
        <v>225</v>
      </c>
      <c r="C136" s="29">
        <v>7170</v>
      </c>
      <c r="D136" s="29"/>
      <c r="E136" s="29"/>
      <c r="F136" s="29"/>
      <c r="G136" s="29"/>
      <c r="H136" s="29"/>
      <c r="I136" s="29"/>
      <c r="J136" s="45"/>
      <c r="K136" s="45"/>
      <c r="L136" s="29">
        <f t="shared" si="18"/>
        <v>7170</v>
      </c>
      <c r="M136" s="29">
        <v>706.2</v>
      </c>
      <c r="N136" s="29">
        <f t="shared" si="15"/>
        <v>6463.8</v>
      </c>
      <c r="O136" s="39">
        <f>M136/$M$139</f>
        <v>2.0549846020195822E-4</v>
      </c>
    </row>
    <row r="137" spans="1:15" ht="15.95" customHeight="1" x14ac:dyDescent="0.2">
      <c r="A137" s="42" t="s">
        <v>226</v>
      </c>
      <c r="B137" s="30" t="s">
        <v>227</v>
      </c>
      <c r="C137" s="29">
        <v>70000</v>
      </c>
      <c r="D137" s="29"/>
      <c r="E137" s="29"/>
      <c r="F137" s="29"/>
      <c r="G137" s="29"/>
      <c r="H137" s="29"/>
      <c r="I137" s="29"/>
      <c r="J137" s="45"/>
      <c r="K137" s="45"/>
      <c r="L137" s="29">
        <f>C137+D137-E137+F137-G137+H137+J137-K137</f>
        <v>70000</v>
      </c>
      <c r="M137" s="29">
        <f>1000+1500+1500+1500+1500+1500+1500</f>
        <v>10000</v>
      </c>
      <c r="N137" s="29">
        <f t="shared" si="15"/>
        <v>60000</v>
      </c>
      <c r="O137" s="39">
        <f>M137/$M$139</f>
        <v>2.9099187227691618E-3</v>
      </c>
    </row>
    <row r="138" spans="1:15" ht="15.95" customHeight="1" thickBot="1" x14ac:dyDescent="0.25">
      <c r="A138" s="42" t="s">
        <v>228</v>
      </c>
      <c r="B138" s="30" t="s">
        <v>229</v>
      </c>
      <c r="C138" s="29">
        <v>8750</v>
      </c>
      <c r="D138" s="29"/>
      <c r="E138" s="29"/>
      <c r="F138" s="29"/>
      <c r="G138" s="29"/>
      <c r="H138" s="29"/>
      <c r="I138" s="29"/>
      <c r="J138" s="45"/>
      <c r="K138" s="45"/>
      <c r="L138" s="29">
        <f t="shared" ref="L138" si="19">C138+D138-E138+F138-G138+H138+J138-K138</f>
        <v>8750</v>
      </c>
      <c r="M138" s="29">
        <v>2461.75</v>
      </c>
      <c r="N138" s="29">
        <f t="shared" si="15"/>
        <v>6288.25</v>
      </c>
      <c r="O138" s="39">
        <f>M138/$M$139</f>
        <v>7.1634924157769841E-4</v>
      </c>
    </row>
    <row r="139" spans="1:15" ht="18" customHeight="1" thickBot="1" x14ac:dyDescent="0.3">
      <c r="A139" s="33"/>
      <c r="B139" s="34" t="s">
        <v>91</v>
      </c>
      <c r="C139" s="35">
        <f t="shared" ref="C139:N139" si="20">SUM(C31:C138)</f>
        <v>8258523.6200000001</v>
      </c>
      <c r="D139" s="35">
        <f t="shared" si="20"/>
        <v>0</v>
      </c>
      <c r="E139" s="35">
        <f t="shared" si="20"/>
        <v>0</v>
      </c>
      <c r="F139" s="35">
        <f t="shared" si="20"/>
        <v>781317.52</v>
      </c>
      <c r="G139" s="35">
        <f t="shared" si="20"/>
        <v>781317.52</v>
      </c>
      <c r="H139" s="35">
        <f t="shared" si="20"/>
        <v>0</v>
      </c>
      <c r="I139" s="35">
        <f t="shared" si="20"/>
        <v>0</v>
      </c>
      <c r="J139" s="65">
        <f t="shared" si="20"/>
        <v>0</v>
      </c>
      <c r="K139" s="65">
        <f t="shared" si="20"/>
        <v>0</v>
      </c>
      <c r="L139" s="35">
        <f>SUM(L31:L138)</f>
        <v>8258523.6199999992</v>
      </c>
      <c r="M139" s="35">
        <f>SUM(M31:M138)</f>
        <v>3436522.1000000006</v>
      </c>
      <c r="N139" s="35">
        <f t="shared" si="20"/>
        <v>4822001.5199999986</v>
      </c>
      <c r="O139" s="46">
        <v>1</v>
      </c>
    </row>
    <row r="140" spans="1:15" x14ac:dyDescent="0.2">
      <c r="A140" s="47"/>
      <c r="B140" s="76"/>
      <c r="C140" s="78"/>
      <c r="D140" s="77"/>
      <c r="E140" s="48"/>
      <c r="F140" s="48"/>
      <c r="G140" s="48"/>
      <c r="H140" s="48"/>
      <c r="I140" s="48"/>
      <c r="J140" s="66"/>
      <c r="K140" s="66"/>
      <c r="L140" s="48"/>
      <c r="M140" s="48"/>
      <c r="N140" s="48"/>
    </row>
    <row r="141" spans="1:15" ht="15.75" thickBot="1" x14ac:dyDescent="0.25">
      <c r="E141" s="12"/>
      <c r="F141" s="4"/>
      <c r="L141" s="15"/>
      <c r="M141" s="4"/>
    </row>
    <row r="142" spans="1:15" ht="15.75" x14ac:dyDescent="0.25">
      <c r="A142" s="1" t="s">
        <v>83</v>
      </c>
      <c r="B142" s="2"/>
      <c r="C142" s="3"/>
      <c r="D142" s="4"/>
      <c r="E142" s="4"/>
      <c r="F142" s="4"/>
      <c r="G142" s="4"/>
      <c r="H142" s="4"/>
      <c r="I142" s="4"/>
      <c r="J142" s="67"/>
      <c r="K142" s="67"/>
      <c r="L142" s="4"/>
      <c r="M142" s="4"/>
    </row>
    <row r="143" spans="1:15" ht="15.75" x14ac:dyDescent="0.25">
      <c r="A143" s="5" t="s">
        <v>2</v>
      </c>
      <c r="B143" s="6"/>
      <c r="C143" s="7"/>
      <c r="D143" s="4"/>
      <c r="E143" s="4"/>
      <c r="F143" s="4"/>
      <c r="G143" s="4"/>
      <c r="H143" s="4"/>
      <c r="I143" s="4"/>
      <c r="J143" s="67"/>
      <c r="K143" s="67"/>
      <c r="L143" s="4"/>
      <c r="M143" s="4"/>
    </row>
    <row r="144" spans="1:15" ht="5.0999999999999996" customHeight="1" thickBot="1" x14ac:dyDescent="0.25">
      <c r="A144" s="8"/>
      <c r="B144" s="9"/>
      <c r="C144" s="10"/>
      <c r="D144" s="4"/>
      <c r="E144" s="4"/>
      <c r="F144" s="4"/>
      <c r="G144" s="4"/>
      <c r="H144" s="4"/>
      <c r="I144" s="4"/>
      <c r="J144" s="67"/>
      <c r="K144" s="67"/>
      <c r="L144" s="4"/>
      <c r="M144" s="4"/>
    </row>
    <row r="145" spans="1:13" ht="6.95" customHeight="1" x14ac:dyDescent="0.2">
      <c r="A145" s="49"/>
      <c r="B145" s="50"/>
      <c r="C145" s="51"/>
      <c r="D145" s="4"/>
      <c r="E145" s="4"/>
      <c r="F145" s="4"/>
      <c r="G145" s="4"/>
      <c r="H145" s="4"/>
      <c r="I145" s="4"/>
      <c r="J145" s="67"/>
      <c r="K145" s="67"/>
      <c r="L145" s="4"/>
      <c r="M145" s="4"/>
    </row>
    <row r="146" spans="1:13" x14ac:dyDescent="0.2">
      <c r="A146" s="52" t="s">
        <v>84</v>
      </c>
      <c r="B146" s="53"/>
      <c r="C146" s="54"/>
      <c r="D146" s="4"/>
      <c r="E146" s="4"/>
      <c r="F146" s="4"/>
      <c r="G146" s="4"/>
      <c r="H146" s="4"/>
      <c r="I146" s="4"/>
      <c r="J146" s="67"/>
      <c r="K146" s="67"/>
      <c r="L146" s="4"/>
    </row>
    <row r="147" spans="1:13" x14ac:dyDescent="0.2">
      <c r="A147" s="55" t="s">
        <v>255</v>
      </c>
      <c r="B147" s="53"/>
      <c r="C147" s="70">
        <v>2534598.2200000002</v>
      </c>
      <c r="D147" s="48"/>
      <c r="E147" s="4"/>
      <c r="F147" s="4"/>
      <c r="G147" s="4"/>
      <c r="H147" s="4"/>
      <c r="I147" s="4"/>
      <c r="J147" s="67"/>
      <c r="K147" s="67"/>
      <c r="L147" s="4"/>
    </row>
    <row r="148" spans="1:13" x14ac:dyDescent="0.2">
      <c r="A148" s="55" t="s">
        <v>256</v>
      </c>
      <c r="B148" s="53"/>
      <c r="C148" s="70">
        <v>-22148.02</v>
      </c>
      <c r="D148" s="48"/>
      <c r="E148" s="4"/>
      <c r="F148" s="4"/>
      <c r="G148" s="4"/>
      <c r="H148" s="4"/>
      <c r="I148" s="4"/>
      <c r="J148" s="67"/>
      <c r="K148" s="67"/>
      <c r="L148" s="4"/>
    </row>
    <row r="149" spans="1:13" x14ac:dyDescent="0.2">
      <c r="A149" s="55" t="s">
        <v>257</v>
      </c>
      <c r="B149" s="53"/>
      <c r="C149" s="70"/>
      <c r="D149" s="48"/>
      <c r="E149" s="4"/>
      <c r="F149" s="4"/>
      <c r="G149" s="4"/>
      <c r="H149" s="4"/>
      <c r="I149" s="4"/>
      <c r="J149" s="67"/>
      <c r="K149" s="67"/>
      <c r="L149" s="4"/>
    </row>
    <row r="150" spans="1:13" x14ac:dyDescent="0.2">
      <c r="A150" s="84" t="s">
        <v>243</v>
      </c>
      <c r="B150" s="53"/>
      <c r="C150" s="70"/>
      <c r="D150" s="48"/>
      <c r="E150" s="4"/>
      <c r="F150" s="4"/>
      <c r="G150" s="4"/>
      <c r="H150" s="4"/>
      <c r="I150" s="4"/>
      <c r="J150" s="67"/>
      <c r="K150" s="67"/>
      <c r="L150" s="4"/>
    </row>
    <row r="151" spans="1:13" x14ac:dyDescent="0.2">
      <c r="A151" s="84" t="s">
        <v>268</v>
      </c>
      <c r="B151" s="53"/>
      <c r="C151" s="70"/>
      <c r="D151" s="48"/>
      <c r="E151" s="4"/>
      <c r="F151" s="4"/>
      <c r="G151" s="4"/>
      <c r="H151" s="4"/>
      <c r="I151" s="4"/>
      <c r="J151" s="67"/>
      <c r="K151" s="67"/>
      <c r="L151" s="4"/>
    </row>
    <row r="152" spans="1:13" x14ac:dyDescent="0.2">
      <c r="A152" s="55" t="s">
        <v>85</v>
      </c>
      <c r="B152" s="53"/>
      <c r="C152" s="70">
        <f>M26</f>
        <v>3990168.8</v>
      </c>
      <c r="D152" s="48"/>
      <c r="E152" s="4"/>
      <c r="F152" s="4"/>
      <c r="G152" s="4"/>
      <c r="H152" s="4"/>
      <c r="I152" s="4"/>
      <c r="J152" s="67"/>
      <c r="K152" s="67"/>
      <c r="L152" s="4"/>
    </row>
    <row r="153" spans="1:13" x14ac:dyDescent="0.2">
      <c r="A153" s="55" t="s">
        <v>86</v>
      </c>
      <c r="B153" s="53"/>
      <c r="C153" s="71">
        <f>-M139</f>
        <v>-3436522.1000000006</v>
      </c>
      <c r="D153" s="4"/>
      <c r="E153" s="4"/>
      <c r="F153" s="4"/>
      <c r="G153" s="4"/>
      <c r="H153" s="4"/>
      <c r="I153" s="4"/>
      <c r="J153" s="67"/>
      <c r="K153" s="67"/>
      <c r="L153" s="4"/>
    </row>
    <row r="154" spans="1:13" ht="15.75" x14ac:dyDescent="0.25">
      <c r="A154" s="56" t="s">
        <v>87</v>
      </c>
      <c r="B154" s="57"/>
      <c r="C154" s="72">
        <f>SUM(C147:C153)</f>
        <v>3066096.8999999994</v>
      </c>
      <c r="D154" s="4"/>
      <c r="E154" s="4"/>
      <c r="F154" s="4"/>
      <c r="G154" s="4"/>
      <c r="H154" s="4"/>
      <c r="I154" s="4"/>
      <c r="J154" s="67"/>
      <c r="K154" s="67"/>
      <c r="L154" s="4"/>
    </row>
    <row r="155" spans="1:13" ht="15.75" x14ac:dyDescent="0.25">
      <c r="A155" s="56"/>
      <c r="B155" s="57"/>
      <c r="C155" s="72"/>
      <c r="D155" s="4"/>
      <c r="E155" s="4"/>
      <c r="F155" s="4"/>
      <c r="G155" s="4"/>
      <c r="H155" s="4"/>
      <c r="I155" s="4"/>
      <c r="J155" s="67"/>
      <c r="K155" s="67"/>
      <c r="L155" s="4"/>
    </row>
    <row r="156" spans="1:13" x14ac:dyDescent="0.2">
      <c r="A156" s="52" t="s">
        <v>88</v>
      </c>
      <c r="B156" s="53"/>
      <c r="C156" s="70"/>
      <c r="D156" s="4"/>
      <c r="E156" s="4"/>
      <c r="F156" s="4"/>
      <c r="G156" s="4"/>
      <c r="H156" s="4"/>
      <c r="I156" s="4"/>
      <c r="J156" s="67"/>
      <c r="K156" s="67"/>
      <c r="L156" s="4"/>
    </row>
    <row r="157" spans="1:13" ht="12" customHeight="1" x14ac:dyDescent="0.2">
      <c r="A157" s="55" t="s">
        <v>148</v>
      </c>
      <c r="B157" s="53"/>
      <c r="C157" s="70">
        <v>272</v>
      </c>
      <c r="D157" s="4"/>
      <c r="E157" s="4"/>
      <c r="F157" s="4"/>
      <c r="G157" s="4"/>
      <c r="H157" s="4"/>
      <c r="I157" s="4"/>
      <c r="J157" s="67"/>
      <c r="K157" s="67"/>
      <c r="L157" s="4"/>
    </row>
    <row r="158" spans="1:13" ht="12" customHeight="1" x14ac:dyDescent="0.2">
      <c r="A158" s="55" t="s">
        <v>245</v>
      </c>
      <c r="B158" s="53"/>
      <c r="C158" s="70"/>
      <c r="D158" s="4"/>
      <c r="E158" s="4"/>
      <c r="F158" s="4"/>
      <c r="G158" s="4"/>
      <c r="H158" s="4"/>
      <c r="I158" s="4"/>
      <c r="J158" s="67"/>
      <c r="K158" s="67"/>
      <c r="L158" s="4"/>
    </row>
    <row r="159" spans="1:13" ht="12" customHeight="1" x14ac:dyDescent="0.2">
      <c r="A159" s="55" t="s">
        <v>253</v>
      </c>
      <c r="B159" s="53"/>
      <c r="C159" s="70">
        <f>3155.64+0.39</f>
        <v>3156.0299999999997</v>
      </c>
      <c r="D159" s="4"/>
      <c r="E159" s="4"/>
      <c r="F159" s="4"/>
      <c r="G159" s="4"/>
      <c r="H159" s="4"/>
      <c r="I159" s="4"/>
      <c r="J159" s="67"/>
      <c r="K159" s="67"/>
      <c r="L159" s="4"/>
    </row>
    <row r="160" spans="1:13" x14ac:dyDescent="0.2">
      <c r="A160" s="55" t="s">
        <v>151</v>
      </c>
      <c r="B160" s="53"/>
      <c r="C160" s="70">
        <f>10425.53+34.11</f>
        <v>10459.640000000001</v>
      </c>
      <c r="D160" s="80"/>
      <c r="E160" s="4"/>
      <c r="F160" s="4"/>
      <c r="G160" s="4"/>
      <c r="H160" s="4"/>
      <c r="I160" s="4"/>
      <c r="J160" s="67"/>
      <c r="K160" s="67"/>
      <c r="L160" s="4"/>
    </row>
    <row r="161" spans="1:13" x14ac:dyDescent="0.2">
      <c r="A161" s="55" t="s">
        <v>150</v>
      </c>
      <c r="B161" s="53"/>
      <c r="C161" s="70">
        <f>1885.18+224.28</f>
        <v>2109.46</v>
      </c>
      <c r="D161" s="81"/>
      <c r="E161" s="4"/>
      <c r="F161" s="4"/>
      <c r="G161" s="4"/>
      <c r="H161" s="4"/>
      <c r="I161" s="4"/>
      <c r="J161" s="67"/>
      <c r="K161" s="67"/>
      <c r="L161" s="4"/>
    </row>
    <row r="162" spans="1:13" x14ac:dyDescent="0.2">
      <c r="A162" s="55" t="s">
        <v>149</v>
      </c>
      <c r="B162" s="53"/>
      <c r="C162" s="70">
        <v>15056.26</v>
      </c>
      <c r="D162" s="81"/>
      <c r="E162" s="4"/>
      <c r="F162" s="4"/>
      <c r="G162" s="4"/>
      <c r="H162" s="4"/>
      <c r="I162" s="4"/>
      <c r="J162" s="67"/>
      <c r="K162" s="67"/>
      <c r="L162" s="4"/>
    </row>
    <row r="163" spans="1:13" x14ac:dyDescent="0.2">
      <c r="A163" s="55" t="s">
        <v>257</v>
      </c>
      <c r="B163" s="53"/>
      <c r="C163" s="70"/>
      <c r="D163" s="81"/>
      <c r="E163" s="4"/>
      <c r="F163" s="4"/>
      <c r="G163" s="4"/>
      <c r="H163" s="4"/>
      <c r="I163" s="4"/>
      <c r="J163" s="67"/>
      <c r="K163" s="67"/>
      <c r="L163" s="4"/>
    </row>
    <row r="164" spans="1:13" x14ac:dyDescent="0.2">
      <c r="A164" s="55" t="s">
        <v>261</v>
      </c>
      <c r="B164" s="53"/>
      <c r="C164" s="70"/>
      <c r="D164" s="81"/>
      <c r="E164" s="4"/>
      <c r="F164" s="4"/>
      <c r="G164" s="4"/>
      <c r="H164" s="4"/>
      <c r="I164" s="4"/>
      <c r="J164" s="67"/>
      <c r="K164" s="67"/>
      <c r="L164" s="4"/>
    </row>
    <row r="165" spans="1:13" x14ac:dyDescent="0.2">
      <c r="A165" s="55"/>
      <c r="B165" s="53"/>
      <c r="C165" s="70"/>
      <c r="D165" s="81"/>
      <c r="E165" s="4"/>
      <c r="F165" s="4"/>
      <c r="G165" s="4"/>
      <c r="H165" s="4"/>
      <c r="I165" s="4"/>
      <c r="J165" s="67"/>
      <c r="K165" s="67"/>
      <c r="L165" s="4"/>
    </row>
    <row r="166" spans="1:13" x14ac:dyDescent="0.2">
      <c r="A166" s="55"/>
      <c r="B166" s="53"/>
      <c r="C166" s="71"/>
      <c r="D166" s="82"/>
      <c r="E166" s="83"/>
      <c r="F166" s="4"/>
      <c r="G166" s="4"/>
      <c r="H166" s="4"/>
      <c r="I166" s="4"/>
      <c r="J166" s="67"/>
      <c r="K166" s="67"/>
      <c r="L166" s="4"/>
    </row>
    <row r="167" spans="1:13" ht="15.75" x14ac:dyDescent="0.25">
      <c r="A167" s="56"/>
      <c r="B167" s="57"/>
      <c r="C167" s="72">
        <f>SUM(C157:C166)</f>
        <v>31053.39</v>
      </c>
      <c r="D167" s="82"/>
      <c r="E167" s="83"/>
      <c r="F167" s="4"/>
      <c r="G167" s="4"/>
      <c r="H167" s="4"/>
      <c r="I167" s="4"/>
      <c r="J167" s="67"/>
      <c r="K167" s="67"/>
      <c r="L167" s="4"/>
    </row>
    <row r="168" spans="1:13" ht="2.1" customHeight="1" x14ac:dyDescent="0.25">
      <c r="A168" s="56"/>
      <c r="B168" s="57"/>
      <c r="C168" s="73"/>
      <c r="D168" s="81"/>
      <c r="E168" s="4"/>
      <c r="F168" s="4"/>
      <c r="G168" s="4"/>
      <c r="H168" s="4"/>
      <c r="I168" s="4"/>
      <c r="J168" s="67"/>
      <c r="K168" s="67"/>
      <c r="L168" s="4"/>
    </row>
    <row r="169" spans="1:13" x14ac:dyDescent="0.2">
      <c r="A169" s="55"/>
      <c r="B169" s="53"/>
      <c r="C169" s="70"/>
      <c r="D169" s="81"/>
      <c r="E169" s="4"/>
      <c r="F169" s="4"/>
      <c r="G169" s="4"/>
      <c r="H169" s="4"/>
      <c r="I169" s="4"/>
      <c r="J169" s="67"/>
      <c r="K169" s="67"/>
      <c r="L169" s="4"/>
    </row>
    <row r="170" spans="1:13" ht="2.1" customHeight="1" thickBot="1" x14ac:dyDescent="0.3">
      <c r="A170" s="58" t="s">
        <v>242</v>
      </c>
      <c r="B170" s="59"/>
      <c r="C170" s="69">
        <f>C154+C167</f>
        <v>3097150.2899999996</v>
      </c>
      <c r="D170" s="80"/>
      <c r="E170" s="4"/>
      <c r="F170" s="4"/>
      <c r="G170" s="4"/>
      <c r="H170" s="4"/>
      <c r="I170" s="4"/>
      <c r="J170" s="67"/>
      <c r="K170" s="67"/>
      <c r="L170" s="4"/>
    </row>
    <row r="171" spans="1:13" ht="9.9499999999999993" customHeight="1" x14ac:dyDescent="0.2">
      <c r="A171" s="55"/>
      <c r="B171" s="53"/>
      <c r="C171" s="70"/>
      <c r="D171" s="80"/>
      <c r="E171" s="4"/>
      <c r="F171" s="4"/>
      <c r="G171" s="4"/>
      <c r="H171" s="4"/>
      <c r="I171" s="4"/>
      <c r="J171" s="67"/>
      <c r="K171" s="67"/>
      <c r="L171" s="4"/>
    </row>
    <row r="172" spans="1:13" ht="16.5" thickBot="1" x14ac:dyDescent="0.3">
      <c r="A172" s="58" t="s">
        <v>273</v>
      </c>
      <c r="B172" s="59"/>
      <c r="C172" s="69">
        <f>C154+C167</f>
        <v>3097150.2899999996</v>
      </c>
      <c r="D172" s="82"/>
      <c r="E172" s="4"/>
      <c r="F172" s="4"/>
      <c r="G172" s="4"/>
      <c r="H172" s="4"/>
      <c r="I172" s="4"/>
      <c r="J172" s="67"/>
      <c r="K172" s="67"/>
      <c r="L172" s="4"/>
      <c r="M172" s="4"/>
    </row>
    <row r="173" spans="1:13" x14ac:dyDescent="0.2">
      <c r="A173" s="53"/>
      <c r="C173" s="4"/>
      <c r="D173" s="4"/>
      <c r="E173" s="4"/>
      <c r="F173" s="4"/>
      <c r="G173" s="4"/>
      <c r="H173" s="4"/>
      <c r="I173" s="4"/>
      <c r="J173" s="67"/>
      <c r="K173" s="67"/>
      <c r="L173" s="4"/>
    </row>
    <row r="174" spans="1:13" x14ac:dyDescent="0.2">
      <c r="C174" s="4"/>
      <c r="D174" s="4"/>
      <c r="E174" s="4"/>
    </row>
    <row r="175" spans="1:13" x14ac:dyDescent="0.2">
      <c r="C175" s="14"/>
      <c r="D175" s="4"/>
    </row>
    <row r="176" spans="1:13" x14ac:dyDescent="0.2">
      <c r="C176" s="14"/>
      <c r="D176" s="4"/>
    </row>
    <row r="177" spans="2:12" x14ac:dyDescent="0.2">
      <c r="C177" s="15"/>
      <c r="D177" s="4"/>
      <c r="I177" s="4"/>
      <c r="K177" s="67"/>
      <c r="L177" s="4"/>
    </row>
    <row r="178" spans="2:12" x14ac:dyDescent="0.2">
      <c r="C178" s="15"/>
      <c r="D178" s="4"/>
    </row>
    <row r="179" spans="2:12" x14ac:dyDescent="0.2">
      <c r="C179" s="15"/>
      <c r="D179" s="4"/>
    </row>
    <row r="180" spans="2:12" x14ac:dyDescent="0.2">
      <c r="C180" s="15"/>
      <c r="D180" s="4"/>
    </row>
    <row r="181" spans="2:12" x14ac:dyDescent="0.2">
      <c r="C181" s="15"/>
      <c r="D181" s="4"/>
    </row>
    <row r="182" spans="2:12" x14ac:dyDescent="0.2">
      <c r="D182" s="4"/>
    </row>
    <row r="183" spans="2:12" x14ac:dyDescent="0.2">
      <c r="D183" s="4"/>
    </row>
    <row r="184" spans="2:12" x14ac:dyDescent="0.2">
      <c r="B184" s="85" t="s">
        <v>240</v>
      </c>
      <c r="C184" s="86" t="s">
        <v>230</v>
      </c>
      <c r="G184" s="85" t="s">
        <v>271</v>
      </c>
      <c r="J184" s="86" t="s">
        <v>272</v>
      </c>
      <c r="K184" s="75"/>
    </row>
    <row r="185" spans="2:12" x14ac:dyDescent="0.2">
      <c r="B185" s="85" t="s">
        <v>89</v>
      </c>
      <c r="C185" s="86" t="s">
        <v>90</v>
      </c>
      <c r="G185" s="85" t="s">
        <v>252</v>
      </c>
      <c r="J185" s="85" t="s">
        <v>246</v>
      </c>
    </row>
    <row r="189" spans="2:12" x14ac:dyDescent="0.2">
      <c r="I189" s="4"/>
      <c r="K189" s="67"/>
      <c r="L189" s="4"/>
    </row>
    <row r="190" spans="2:12" x14ac:dyDescent="0.2">
      <c r="I190" s="4"/>
      <c r="K190" s="67"/>
      <c r="L190" s="4"/>
    </row>
    <row r="191" spans="2:12" x14ac:dyDescent="0.2">
      <c r="G191" s="60"/>
      <c r="I191" s="60"/>
      <c r="K191" s="68"/>
      <c r="L191" s="4"/>
    </row>
    <row r="192" spans="2:12" x14ac:dyDescent="0.2">
      <c r="G192" s="60"/>
      <c r="I192" s="60"/>
      <c r="K192" s="68"/>
      <c r="L192" s="4"/>
    </row>
    <row r="193" spans="7:12" x14ac:dyDescent="0.2">
      <c r="G193" s="60"/>
      <c r="L193" s="4"/>
    </row>
    <row r="194" spans="7:12" x14ac:dyDescent="0.2">
      <c r="G194" s="60"/>
    </row>
    <row r="195" spans="7:12" x14ac:dyDescent="0.2">
      <c r="G195" s="60"/>
    </row>
    <row r="196" spans="7:12" x14ac:dyDescent="0.2">
      <c r="G196" s="60"/>
      <c r="L196" s="4"/>
    </row>
    <row r="197" spans="7:12" x14ac:dyDescent="0.2">
      <c r="G197" s="60"/>
    </row>
    <row r="198" spans="7:12" x14ac:dyDescent="0.2">
      <c r="G198" s="60"/>
    </row>
    <row r="199" spans="7:12" x14ac:dyDescent="0.2">
      <c r="G199" s="60"/>
    </row>
    <row r="200" spans="7:12" x14ac:dyDescent="0.2">
      <c r="G200" s="60"/>
    </row>
    <row r="201" spans="7:12" x14ac:dyDescent="0.2">
      <c r="G201" s="60"/>
    </row>
    <row r="202" spans="7:12" x14ac:dyDescent="0.2">
      <c r="G202" s="60"/>
    </row>
    <row r="203" spans="7:12" x14ac:dyDescent="0.2">
      <c r="G203" s="60"/>
    </row>
    <row r="204" spans="7:12" x14ac:dyDescent="0.2">
      <c r="G204" s="60"/>
    </row>
    <row r="205" spans="7:12" x14ac:dyDescent="0.2">
      <c r="G205" s="60"/>
    </row>
    <row r="206" spans="7:12" x14ac:dyDescent="0.2">
      <c r="G206" s="60"/>
    </row>
    <row r="207" spans="7:12" x14ac:dyDescent="0.2">
      <c r="G207" s="60"/>
    </row>
    <row r="208" spans="7:12" x14ac:dyDescent="0.2">
      <c r="G208" s="60"/>
    </row>
  </sheetData>
  <mergeCells count="4">
    <mergeCell ref="B6:B7"/>
    <mergeCell ref="H6:I6"/>
    <mergeCell ref="J6:K6"/>
    <mergeCell ref="M6:M7"/>
  </mergeCells>
  <pageMargins left="0.70866141732283472" right="0.70866141732283472" top="0.74803149606299213" bottom="0.74803149606299213" header="0.31496062992125984" footer="0.31496062992125984"/>
  <pageSetup scale="45" orientation="landscape" horizontalDpi="360" verticalDpi="360" r:id="rId1"/>
  <rowBreaks count="2" manualBreakCount="2">
    <brk id="56" max="16383" man="1"/>
    <brk id="12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2023</vt:lpstr>
      <vt:lpstr>FEBRERO 2023</vt:lpstr>
      <vt:lpstr>MARZO 2023</vt:lpstr>
      <vt:lpstr>ABRIL 2023 </vt:lpstr>
      <vt:lpstr>MAYO 2023</vt:lpstr>
      <vt:lpstr>JUNIO 2023 </vt:lpstr>
      <vt:lpstr>JULIO 2023</vt:lpstr>
      <vt:lpstr>AGOSTO 2023</vt:lpstr>
      <vt:lpstr>SEPTIEMBRE 2023 </vt:lpstr>
      <vt:lpstr>OCTUBRE 2023</vt:lpstr>
      <vt:lpstr>NOVIEMBRE 2023</vt:lpstr>
      <vt:lpstr>DICIEMBRE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Coordinacion Financiera</cp:lastModifiedBy>
  <cp:lastPrinted>2024-02-05T21:12:11Z</cp:lastPrinted>
  <dcterms:created xsi:type="dcterms:W3CDTF">2018-02-13T22:14:16Z</dcterms:created>
  <dcterms:modified xsi:type="dcterms:W3CDTF">2024-03-07T20:18:35Z</dcterms:modified>
</cp:coreProperties>
</file>